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BatesCalc" sheetId="4" r:id="rId4"/>
    <sheet name="U-calc" sheetId="5" r:id="rId5"/>
    <sheet name="Constants" sheetId="6" r:id="rId6"/>
  </sheets>
  <externalReferences>
    <externalReference r:id="rId9"/>
  </externalReferences>
  <definedNames/>
  <calcPr fullCalcOnLoad="1"/>
</workbook>
</file>

<file path=xl/sharedStrings.xml><?xml version="1.0" encoding="utf-8"?>
<sst xmlns="http://schemas.openxmlformats.org/spreadsheetml/2006/main" count="284" uniqueCount="175">
  <si>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</si>
  <si>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</si>
  <si>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</si>
  <si>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</si>
  <si>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</si>
  <si>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</si>
  <si>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</si>
  <si>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</si>
  <si>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</si>
  <si>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</si>
  <si>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</si>
  <si>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</si>
  <si>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</si>
  <si>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</si>
  <si>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</si>
  <si>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</si>
  <si>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</si>
  <si>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</si>
  <si>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</si>
  <si>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</si>
  <si>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</si>
  <si>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</si>
  <si>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</si>
  <si>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</si>
  <si>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</si>
  <si>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</si>
  <si>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</si>
  <si>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</si>
  <si>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</si>
  <si>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</si>
  <si>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</si>
  <si>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</si>
  <si>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</si>
  <si>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</si>
  <si>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</si>
  <si>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</si>
  <si>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</si>
  <si>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</si>
  <si>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</si>
  <si>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</si>
  <si>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</si>
  <si>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</si>
  <si>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</si>
  <si>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</si>
  <si>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</si>
  <si>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</si>
  <si>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</si>
  <si>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</si>
  <si>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</si>
  <si>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</si>
  <si>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</si>
  <si>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</si>
  <si>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</si>
  <si>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</si>
  <si>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</si>
  <si>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</si>
  <si>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</si>
  <si>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</si>
  <si>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</si>
  <si>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</si>
  <si>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</si>
  <si>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</si>
  <si>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</si>
  <si>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</si>
  <si>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</si>
  <si>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</si>
  <si>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</si>
  <si>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</si>
  <si>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</si>
  <si>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</si>
  <si>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</si>
  <si>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</si>
  <si>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</si>
  <si>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</si>
  <si>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</si>
  <si>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</si>
  <si>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(KN/SU)</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</si>
  <si>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</si>
  <si>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</si>
  <si>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</si>
  <si>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</si>
  <si>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</si>
  <si>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</si>
  <si>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</si>
  <si>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</si>
  <si>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</si>
  <si>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</si>
  <si>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</si>
  <si>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</si>
  <si>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</si>
  <si>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</si>
  <si>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</si>
  <si>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</si>
  <si>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</si>
  <si>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</si>
  <si>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</si>
  <si>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</si>
  <si>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</si>
  <si>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</si>
  <si>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</si>
  <si>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</si>
  <si>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</si>
  <si>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</si>
  <si>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</si>
  <si>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</si>
  <si>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</si>
  <si>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</si>
  <si>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</si>
  <si>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</si>
  <si>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</si>
  <si>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</si>
  <si>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</si>
  <si>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</si>
  <si>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</si>
  <si>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</si>
  <si>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</si>
  <si>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</si>
  <si>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</si>
  <si>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</si>
  <si>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</si>
  <si>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</si>
  <si>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</si>
  <si>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</si>
  <si>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</si>
  <si>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</si>
  <si>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</si>
  <si>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</si>
  <si>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</si>
  <si>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</si>
  <si>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</si>
  <si>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</si>
  <si>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</si>
  <si>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</si>
  <si>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</si>
  <si>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</si>
  <si>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</si>
  <si>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</si>
  <si>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</si>
  <si>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</si>
  <si>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</si>
  <si>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</si>
  <si>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</si>
  <si>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</si>
  <si>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</si>
  <si>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</si>
  <si>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</si>
  <si>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</si>
  <si>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</si>
  <si>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</si>
  <si>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</si>
  <si>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This sample uses millimeters, but decimal inches works fine.</t>
  </si>
  <si>
    <t>(See Note 4)</t>
  </si>
  <si>
    <t>Core area:</t>
  </si>
  <si>
    <t>Core/nozzle ratio:</t>
  </si>
  <si>
    <t>Version 2m</t>
  </si>
  <si>
    <t>29mm inhibitor, 3.5 inch length makes 1 turn plus a little overlap</t>
  </si>
  <si>
    <t>per linear inch</t>
  </si>
  <si>
    <t>Single Uninhibited grain</t>
  </si>
  <si>
    <t>(includes fuse paper wraps)</t>
  </si>
  <si>
    <t>Average of values encompassing the range in which this motor tested</t>
  </si>
  <si>
    <t>Data from 500lbf load cell in Test Stand B, INA 125 amp C, gain set at 47 ohms, switch 4</t>
  </si>
  <si>
    <t>(bare grain,no fuse paper)</t>
  </si>
  <si>
    <t>Uninhibited grain, wrapped in one coffee-filter of fuse paper, fuse paper ignitor</t>
  </si>
  <si>
    <t>10 per second at 1 atm</t>
  </si>
  <si>
    <t>Jon Carter, steel, no erosion</t>
  </si>
  <si>
    <t>Uninhibited Grain Kn Calculator</t>
  </si>
  <si>
    <t>This sample uses decimal inches, but millimeters works fine too.</t>
  </si>
  <si>
    <t>Golden Syrup rcandy</t>
  </si>
  <si>
    <t>10 seconds per inch at 1 atmosphere</t>
  </si>
  <si>
    <t>K43 thru 44</t>
  </si>
  <si>
    <t>12-3-06B</t>
  </si>
  <si>
    <t>end</t>
  </si>
  <si>
    <t>Golden Syrup  rcandy, Batch 12/3/6A, 120g Golden syrup, 200g KNO3</t>
  </si>
  <si>
    <t>this batch is fairly dry, nice texture, but cooled sample snaps crisply</t>
  </si>
  <si>
    <t>Burn time is substantially longer that of equivalent KN/sucrose rcandy, not quite double, like in yesterday's test.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</si>
</sst>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casing, single uninhibited grain</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Data!$B$10:$B$232</c:f>
              <c:numCache>
                <c:ptCount val="223"/>
                <c:pt idx="0">
                  <c:v>-1.5058699999959124E-05</c:v>
                </c:pt>
                <c:pt idx="1">
                  <c:v>-1.5058699999959124E-05</c:v>
                </c:pt>
                <c:pt idx="2">
                  <c:v>-1.5058699999959124E-05</c:v>
                </c:pt>
                <c:pt idx="3">
                  <c:v>-1.5058699999959124E-05</c:v>
                </c:pt>
                <c:pt idx="4">
                  <c:v>0.5355973049000001</c:v>
                </c:pt>
                <c:pt idx="5">
                  <c:v>-0.5356</c:v>
                </c:pt>
                <c:pt idx="6">
                  <c:v>-1.5058699999959124E-05</c:v>
                </c:pt>
                <c:pt idx="7">
                  <c:v>-1.5058699999959124E-05</c:v>
                </c:pt>
                <c:pt idx="8">
                  <c:v>-1.5058699999959124E-05</c:v>
                </c:pt>
                <c:pt idx="9">
                  <c:v>-1.5058699999959124E-05</c:v>
                </c:pt>
                <c:pt idx="10">
                  <c:v>-1.5058699999959124E-05</c:v>
                </c:pt>
                <c:pt idx="11">
                  <c:v>-1.5058699999959124E-05</c:v>
                </c:pt>
                <c:pt idx="12">
                  <c:v>-1.5058699999959124E-05</c:v>
                </c:pt>
                <c:pt idx="13">
                  <c:v>-1.5058699999959124E-05</c:v>
                </c:pt>
                <c:pt idx="14">
                  <c:v>-1.5058699999959124E-05</c:v>
                </c:pt>
                <c:pt idx="15">
                  <c:v>-1.5058699999959124E-05</c:v>
                </c:pt>
                <c:pt idx="16">
                  <c:v>0.5355973049000001</c:v>
                </c:pt>
                <c:pt idx="17">
                  <c:v>0.5355973049000001</c:v>
                </c:pt>
                <c:pt idx="18">
                  <c:v>0.5355973049000001</c:v>
                </c:pt>
                <c:pt idx="19">
                  <c:v>1.0711822462000002</c:v>
                </c:pt>
                <c:pt idx="20">
                  <c:v>2.678019337</c:v>
                </c:pt>
                <c:pt idx="21">
                  <c:v>5.355806932</c:v>
                </c:pt>
                <c:pt idx="22">
                  <c:v>-0.5356</c:v>
                </c:pt>
                <c:pt idx="23">
                  <c:v>-1.0711849412999999</c:v>
                </c:pt>
                <c:pt idx="24">
                  <c:v>7.498311231</c:v>
                </c:pt>
                <c:pt idx="25">
                  <c:v>4.820249413000001</c:v>
                </c:pt>
                <c:pt idx="26">
                  <c:v>9.640541307</c:v>
                </c:pt>
                <c:pt idx="27">
                  <c:v>8.569426269</c:v>
                </c:pt>
                <c:pt idx="28">
                  <c:v>9.640541307</c:v>
                </c:pt>
                <c:pt idx="29">
                  <c:v>12.854160643999998</c:v>
                </c:pt>
                <c:pt idx="30">
                  <c:v>15.532222461999998</c:v>
                </c:pt>
                <c:pt idx="31">
                  <c:v>19.281399318000002</c:v>
                </c:pt>
                <c:pt idx="32">
                  <c:v>22.494744432</c:v>
                </c:pt>
                <c:pt idx="33">
                  <c:v>24.101691212000002</c:v>
                </c:pt>
                <c:pt idx="34">
                  <c:v>24.101691212000002</c:v>
                </c:pt>
                <c:pt idx="35">
                  <c:v>23.566133693</c:v>
                </c:pt>
                <c:pt idx="36">
                  <c:v>24.101691212000002</c:v>
                </c:pt>
                <c:pt idx="37">
                  <c:v>23.566133693</c:v>
                </c:pt>
                <c:pt idx="38">
                  <c:v>23.566133693</c:v>
                </c:pt>
                <c:pt idx="39">
                  <c:v>23.566133693</c:v>
                </c:pt>
                <c:pt idx="40">
                  <c:v>23.566133693</c:v>
                </c:pt>
                <c:pt idx="41">
                  <c:v>23.566133693</c:v>
                </c:pt>
                <c:pt idx="42">
                  <c:v>24.637248731</c:v>
                </c:pt>
                <c:pt idx="43">
                  <c:v>25.708363769</c:v>
                </c:pt>
                <c:pt idx="44">
                  <c:v>26.779478807</c:v>
                </c:pt>
                <c:pt idx="45">
                  <c:v>27.85196496</c:v>
                </c:pt>
                <c:pt idx="46">
                  <c:v>28.921434660000003</c:v>
                </c:pt>
                <c:pt idx="47">
                  <c:v>31.063116290000004</c:v>
                </c:pt>
                <c:pt idx="48">
                  <c:v>31.600593370000002</c:v>
                </c:pt>
                <c:pt idx="49">
                  <c:v>31.600593370000002</c:v>
                </c:pt>
                <c:pt idx="50">
                  <c:v>32.13532822</c:v>
                </c:pt>
                <c:pt idx="51">
                  <c:v>32.67006307</c:v>
                </c:pt>
                <c:pt idx="52">
                  <c:v>33.742275</c:v>
                </c:pt>
                <c:pt idx="53">
                  <c:v>34.27700985</c:v>
                </c:pt>
                <c:pt idx="54">
                  <c:v>35.34922178</c:v>
                </c:pt>
                <c:pt idx="55">
                  <c:v>35.88395663</c:v>
                </c:pt>
                <c:pt idx="56">
                  <c:v>36.956168559999995</c:v>
                </c:pt>
                <c:pt idx="57">
                  <c:v>36.956168559999995</c:v>
                </c:pt>
                <c:pt idx="58">
                  <c:v>38.02838049</c:v>
                </c:pt>
                <c:pt idx="59">
                  <c:v>39.097850189999996</c:v>
                </c:pt>
                <c:pt idx="60">
                  <c:v>42.31174375</c:v>
                </c:pt>
                <c:pt idx="61">
                  <c:v>44.990902459999994</c:v>
                </c:pt>
                <c:pt idx="62">
                  <c:v>45.52563730999999</c:v>
                </c:pt>
                <c:pt idx="63">
                  <c:v>45.52563730999999</c:v>
                </c:pt>
                <c:pt idx="64">
                  <c:v>45.52563730999999</c:v>
                </c:pt>
                <c:pt idx="65">
                  <c:v>44.990902459999994</c:v>
                </c:pt>
                <c:pt idx="66">
                  <c:v>44.990902459999994</c:v>
                </c:pt>
                <c:pt idx="67">
                  <c:v>44.990902459999994</c:v>
                </c:pt>
                <c:pt idx="68">
                  <c:v>44.990902459999994</c:v>
                </c:pt>
                <c:pt idx="69">
                  <c:v>44.990902459999994</c:v>
                </c:pt>
                <c:pt idx="70">
                  <c:v>44.45342538</c:v>
                </c:pt>
                <c:pt idx="71">
                  <c:v>44.45342538</c:v>
                </c:pt>
                <c:pt idx="72">
                  <c:v>44.45342538</c:v>
                </c:pt>
                <c:pt idx="73">
                  <c:v>44.45342538</c:v>
                </c:pt>
                <c:pt idx="74">
                  <c:v>43.91869053</c:v>
                </c:pt>
                <c:pt idx="75">
                  <c:v>43.91869053</c:v>
                </c:pt>
                <c:pt idx="76">
                  <c:v>43.91869053</c:v>
                </c:pt>
                <c:pt idx="77">
                  <c:v>43.91869053</c:v>
                </c:pt>
                <c:pt idx="78">
                  <c:v>43.91869053</c:v>
                </c:pt>
                <c:pt idx="79">
                  <c:v>43.91869053</c:v>
                </c:pt>
                <c:pt idx="80">
                  <c:v>43.91869053</c:v>
                </c:pt>
                <c:pt idx="81">
                  <c:v>43.91869053</c:v>
                </c:pt>
                <c:pt idx="82">
                  <c:v>43.91869053</c:v>
                </c:pt>
                <c:pt idx="83">
                  <c:v>43.91869053</c:v>
                </c:pt>
                <c:pt idx="84">
                  <c:v>44.45342538</c:v>
                </c:pt>
                <c:pt idx="85">
                  <c:v>43.91869053</c:v>
                </c:pt>
                <c:pt idx="86">
                  <c:v>43.91869053</c:v>
                </c:pt>
                <c:pt idx="87">
                  <c:v>43.91869053</c:v>
                </c:pt>
                <c:pt idx="88">
                  <c:v>41.23953182</c:v>
                </c:pt>
                <c:pt idx="89">
                  <c:v>43.91869053</c:v>
                </c:pt>
                <c:pt idx="90">
                  <c:v>43.91869053</c:v>
                </c:pt>
                <c:pt idx="91">
                  <c:v>43.91869053</c:v>
                </c:pt>
                <c:pt idx="92">
                  <c:v>43.91869053</c:v>
                </c:pt>
                <c:pt idx="93">
                  <c:v>43.91869053</c:v>
                </c:pt>
                <c:pt idx="94">
                  <c:v>43.91869053</c:v>
                </c:pt>
                <c:pt idx="95">
                  <c:v>43.91869053</c:v>
                </c:pt>
                <c:pt idx="96">
                  <c:v>43.91869053</c:v>
                </c:pt>
                <c:pt idx="97">
                  <c:v>43.91869053</c:v>
                </c:pt>
                <c:pt idx="98">
                  <c:v>43.91869053</c:v>
                </c:pt>
                <c:pt idx="99">
                  <c:v>43.91869053</c:v>
                </c:pt>
                <c:pt idx="100">
                  <c:v>43.91869053</c:v>
                </c:pt>
                <c:pt idx="101">
                  <c:v>43.91869053</c:v>
                </c:pt>
                <c:pt idx="102">
                  <c:v>43.38395567999999</c:v>
                </c:pt>
                <c:pt idx="103">
                  <c:v>43.38395567999999</c:v>
                </c:pt>
                <c:pt idx="104">
                  <c:v>43.38395567999999</c:v>
                </c:pt>
                <c:pt idx="105">
                  <c:v>43.38395567999999</c:v>
                </c:pt>
                <c:pt idx="106">
                  <c:v>43.38395567999999</c:v>
                </c:pt>
                <c:pt idx="107">
                  <c:v>43.38395567999999</c:v>
                </c:pt>
                <c:pt idx="108">
                  <c:v>43.38395567999999</c:v>
                </c:pt>
                <c:pt idx="109">
                  <c:v>43.38395567999999</c:v>
                </c:pt>
                <c:pt idx="110">
                  <c:v>43.38395567999999</c:v>
                </c:pt>
                <c:pt idx="111">
                  <c:v>43.38395567999999</c:v>
                </c:pt>
                <c:pt idx="112">
                  <c:v>43.38395567999999</c:v>
                </c:pt>
                <c:pt idx="113">
                  <c:v>42.8464786</c:v>
                </c:pt>
                <c:pt idx="114">
                  <c:v>42.8464786</c:v>
                </c:pt>
                <c:pt idx="115">
                  <c:v>42.8464786</c:v>
                </c:pt>
                <c:pt idx="116">
                  <c:v>42.8464786</c:v>
                </c:pt>
                <c:pt idx="117">
                  <c:v>42.8464786</c:v>
                </c:pt>
                <c:pt idx="118">
                  <c:v>42.8464786</c:v>
                </c:pt>
                <c:pt idx="119">
                  <c:v>42.8464786</c:v>
                </c:pt>
                <c:pt idx="120">
                  <c:v>42.8464786</c:v>
                </c:pt>
                <c:pt idx="121">
                  <c:v>42.8464786</c:v>
                </c:pt>
                <c:pt idx="122">
                  <c:v>42.8464786</c:v>
                </c:pt>
                <c:pt idx="123">
                  <c:v>42.8464786</c:v>
                </c:pt>
                <c:pt idx="124">
                  <c:v>42.8464786</c:v>
                </c:pt>
                <c:pt idx="125">
                  <c:v>42.8464786</c:v>
                </c:pt>
                <c:pt idx="126">
                  <c:v>42.8464786</c:v>
                </c:pt>
                <c:pt idx="127">
                  <c:v>42.31174375</c:v>
                </c:pt>
                <c:pt idx="128">
                  <c:v>42.8464786</c:v>
                </c:pt>
                <c:pt idx="129">
                  <c:v>42.8464786</c:v>
                </c:pt>
                <c:pt idx="130">
                  <c:v>42.8464786</c:v>
                </c:pt>
                <c:pt idx="131">
                  <c:v>42.8464786</c:v>
                </c:pt>
                <c:pt idx="132">
                  <c:v>42.8464786</c:v>
                </c:pt>
                <c:pt idx="133">
                  <c:v>42.8464786</c:v>
                </c:pt>
                <c:pt idx="134">
                  <c:v>42.31174375</c:v>
                </c:pt>
                <c:pt idx="135">
                  <c:v>42.31174375</c:v>
                </c:pt>
                <c:pt idx="136">
                  <c:v>42.8464786</c:v>
                </c:pt>
                <c:pt idx="137">
                  <c:v>42.8464786</c:v>
                </c:pt>
                <c:pt idx="138">
                  <c:v>42.31174375</c:v>
                </c:pt>
                <c:pt idx="139">
                  <c:v>42.31174375</c:v>
                </c:pt>
                <c:pt idx="140">
                  <c:v>42.8464786</c:v>
                </c:pt>
                <c:pt idx="141">
                  <c:v>42.8464786</c:v>
                </c:pt>
                <c:pt idx="142">
                  <c:v>42.31174375</c:v>
                </c:pt>
                <c:pt idx="143">
                  <c:v>42.31174375</c:v>
                </c:pt>
                <c:pt idx="144">
                  <c:v>42.8464786</c:v>
                </c:pt>
                <c:pt idx="145">
                  <c:v>42.31174375</c:v>
                </c:pt>
                <c:pt idx="146">
                  <c:v>42.31174375</c:v>
                </c:pt>
                <c:pt idx="147">
                  <c:v>42.31174375</c:v>
                </c:pt>
                <c:pt idx="148">
                  <c:v>42.31174375</c:v>
                </c:pt>
                <c:pt idx="149">
                  <c:v>42.31174375</c:v>
                </c:pt>
                <c:pt idx="150">
                  <c:v>41.7770089</c:v>
                </c:pt>
                <c:pt idx="151">
                  <c:v>41.7770089</c:v>
                </c:pt>
                <c:pt idx="152">
                  <c:v>41.7770089</c:v>
                </c:pt>
                <c:pt idx="153">
                  <c:v>41.7770089</c:v>
                </c:pt>
                <c:pt idx="154">
                  <c:v>41.23953182</c:v>
                </c:pt>
                <c:pt idx="155">
                  <c:v>41.23953182</c:v>
                </c:pt>
                <c:pt idx="156">
                  <c:v>41.7770089</c:v>
                </c:pt>
                <c:pt idx="157">
                  <c:v>41.23953182</c:v>
                </c:pt>
                <c:pt idx="158">
                  <c:v>41.23953182</c:v>
                </c:pt>
                <c:pt idx="159">
                  <c:v>41.23953182</c:v>
                </c:pt>
                <c:pt idx="160">
                  <c:v>41.23953182</c:v>
                </c:pt>
                <c:pt idx="161">
                  <c:v>41.23953182</c:v>
                </c:pt>
                <c:pt idx="162">
                  <c:v>41.23953182</c:v>
                </c:pt>
                <c:pt idx="163">
                  <c:v>40.70479697</c:v>
                </c:pt>
                <c:pt idx="164">
                  <c:v>40.70479697</c:v>
                </c:pt>
                <c:pt idx="165">
                  <c:v>40.70479697</c:v>
                </c:pt>
                <c:pt idx="166">
                  <c:v>40.17006212</c:v>
                </c:pt>
                <c:pt idx="167">
                  <c:v>39.63258504</c:v>
                </c:pt>
                <c:pt idx="168">
                  <c:v>39.63258504</c:v>
                </c:pt>
                <c:pt idx="169">
                  <c:v>39.63258504</c:v>
                </c:pt>
                <c:pt idx="170">
                  <c:v>39.097850189999996</c:v>
                </c:pt>
                <c:pt idx="171">
                  <c:v>39.097850189999996</c:v>
                </c:pt>
                <c:pt idx="172">
                  <c:v>39.097850189999996</c:v>
                </c:pt>
                <c:pt idx="173">
                  <c:v>39.097850189999996</c:v>
                </c:pt>
                <c:pt idx="174">
                  <c:v>38.563115339999996</c:v>
                </c:pt>
                <c:pt idx="175">
                  <c:v>38.563115339999996</c:v>
                </c:pt>
                <c:pt idx="176">
                  <c:v>38.563115339999996</c:v>
                </c:pt>
                <c:pt idx="177">
                  <c:v>38.563115339999996</c:v>
                </c:pt>
                <c:pt idx="178">
                  <c:v>38.563115339999996</c:v>
                </c:pt>
                <c:pt idx="179">
                  <c:v>38.563115339999996</c:v>
                </c:pt>
                <c:pt idx="180">
                  <c:v>38.563115339999996</c:v>
                </c:pt>
                <c:pt idx="181">
                  <c:v>38.02838049</c:v>
                </c:pt>
                <c:pt idx="182">
                  <c:v>37.49090341</c:v>
                </c:pt>
                <c:pt idx="183">
                  <c:v>36.956168559999995</c:v>
                </c:pt>
                <c:pt idx="184">
                  <c:v>36.956168559999995</c:v>
                </c:pt>
                <c:pt idx="185">
                  <c:v>35.88395663</c:v>
                </c:pt>
                <c:pt idx="186">
                  <c:v>35.34922178</c:v>
                </c:pt>
                <c:pt idx="187">
                  <c:v>34.27700985</c:v>
                </c:pt>
                <c:pt idx="188">
                  <c:v>33.742275</c:v>
                </c:pt>
                <c:pt idx="189">
                  <c:v>33.20754014999999</c:v>
                </c:pt>
                <c:pt idx="190">
                  <c:v>32.13532822</c:v>
                </c:pt>
                <c:pt idx="191">
                  <c:v>31.063116290000004</c:v>
                </c:pt>
                <c:pt idx="192">
                  <c:v>27.85196496</c:v>
                </c:pt>
                <c:pt idx="193">
                  <c:v>25.708363769</c:v>
                </c:pt>
                <c:pt idx="194">
                  <c:v>24.637248731</c:v>
                </c:pt>
                <c:pt idx="195">
                  <c:v>23.566133693</c:v>
                </c:pt>
                <c:pt idx="196">
                  <c:v>21.959186913</c:v>
                </c:pt>
                <c:pt idx="197">
                  <c:v>19.816956837000003</c:v>
                </c:pt>
                <c:pt idx="198">
                  <c:v>17.674452538</c:v>
                </c:pt>
                <c:pt idx="199">
                  <c:v>14.461107424</c:v>
                </c:pt>
                <c:pt idx="200">
                  <c:v>10.176373048999999</c:v>
                </c:pt>
                <c:pt idx="201">
                  <c:v>5.355806932</c:v>
                </c:pt>
                <c:pt idx="202">
                  <c:v>3.749134375</c:v>
                </c:pt>
                <c:pt idx="203">
                  <c:v>2.678019337</c:v>
                </c:pt>
                <c:pt idx="204">
                  <c:v>2.1423521288000003</c:v>
                </c:pt>
                <c:pt idx="205">
                  <c:v>1.0711822462000002</c:v>
                </c:pt>
                <c:pt idx="206">
                  <c:v>0.5355973049000001</c:v>
                </c:pt>
                <c:pt idx="207">
                  <c:v>-1.5058699999959124E-05</c:v>
                </c:pt>
                <c:pt idx="208">
                  <c:v>-1.5058699999959124E-05</c:v>
                </c:pt>
                <c:pt idx="209">
                  <c:v>-1.5058699999959124E-05</c:v>
                </c:pt>
                <c:pt idx="210">
                  <c:v>-1.5058699999959124E-05</c:v>
                </c:pt>
                <c:pt idx="211">
                  <c:v>-1.5058699999959124E-05</c:v>
                </c:pt>
                <c:pt idx="212">
                  <c:v>-1.5058699999959124E-05</c:v>
                </c:pt>
                <c:pt idx="213">
                  <c:v>-1.5058699999959124E-05</c:v>
                </c:pt>
                <c:pt idx="214">
                  <c:v>-1.5058699999959124E-05</c:v>
                </c:pt>
                <c:pt idx="215">
                  <c:v>-1.5058699999959124E-05</c:v>
                </c:pt>
                <c:pt idx="216">
                  <c:v>-1.5058699999959124E-05</c:v>
                </c:pt>
                <c:pt idx="217">
                  <c:v>-1.5058699999959124E-05</c:v>
                </c:pt>
                <c:pt idx="218">
                  <c:v>-1.5058699999959124E-05</c:v>
                </c:pt>
                <c:pt idx="219">
                  <c:v>-0.5356</c:v>
                </c:pt>
                <c:pt idx="220">
                  <c:v>-1.5058699999959124E-05</c:v>
                </c:pt>
                <c:pt idx="221">
                  <c:v>-1.5058699999959124E-05</c:v>
                </c:pt>
                <c:pt idx="222">
                  <c:v>-0.5356</c:v>
                </c:pt>
              </c:numCache>
            </c:numRef>
          </c:val>
          <c:smooth val="0"/>
        </c:ser>
        <c:axId val="35758425"/>
        <c:axId val="53390370"/>
      </c:lineChart>
      <c:catAx>
        <c:axId val="35758425"/>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3390370"/>
        <c:crosses val="autoZero"/>
        <c:auto val="1"/>
        <c:lblOffset val="100"/>
        <c:noMultiLvlLbl val="0"/>
      </c:catAx>
      <c:valAx>
        <c:axId val="53390370"/>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5758425"/>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10751283"/>
        <c:axId val="29652684"/>
      </c:lineChart>
      <c:catAx>
        <c:axId val="10751283"/>
        <c:scaling>
          <c:orientation val="minMax"/>
        </c:scaling>
        <c:axPos val="b"/>
        <c:delete val="0"/>
        <c:numFmt formatCode="General" sourceLinked="1"/>
        <c:majorTickMark val="out"/>
        <c:minorTickMark val="none"/>
        <c:tickLblPos val="nextTo"/>
        <c:crossAx val="29652684"/>
        <c:crosses val="autoZero"/>
        <c:auto val="1"/>
        <c:lblOffset val="100"/>
        <c:noMultiLvlLbl val="0"/>
      </c:catAx>
      <c:valAx>
        <c:axId val="29652684"/>
        <c:scaling>
          <c:orientation val="minMax"/>
          <c:max val="50"/>
          <c:min val="0"/>
        </c:scaling>
        <c:axPos val="l"/>
        <c:majorGridlines/>
        <c:delete val="0"/>
        <c:numFmt formatCode="0.00" sourceLinked="0"/>
        <c:majorTickMark val="out"/>
        <c:minorTickMark val="none"/>
        <c:tickLblPos val="nextTo"/>
        <c:crossAx val="10751283"/>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Data!$B$10:$B$232</c:f>
              <c:numCache/>
            </c:numRef>
          </c:val>
          <c:smooth val="0"/>
        </c:ser>
        <c:marker val="1"/>
        <c:axId val="65547565"/>
        <c:axId val="53057174"/>
      </c:lineChart>
      <c:catAx>
        <c:axId val="65547565"/>
        <c:scaling>
          <c:orientation val="minMax"/>
        </c:scaling>
        <c:axPos val="b"/>
        <c:delete val="0"/>
        <c:numFmt formatCode="General" sourceLinked="1"/>
        <c:majorTickMark val="out"/>
        <c:minorTickMark val="none"/>
        <c:tickLblPos val="nextTo"/>
        <c:crossAx val="53057174"/>
        <c:crosses val="autoZero"/>
        <c:auto val="1"/>
        <c:lblOffset val="100"/>
        <c:noMultiLvlLbl val="0"/>
      </c:catAx>
      <c:valAx>
        <c:axId val="53057174"/>
        <c:scaling>
          <c:orientation val="minMax"/>
        </c:scaling>
        <c:axPos val="l"/>
        <c:majorGridlines/>
        <c:delete val="0"/>
        <c:numFmt formatCode="General" sourceLinked="1"/>
        <c:majorTickMark val="out"/>
        <c:minorTickMark val="none"/>
        <c:tickLblPos val="nextTo"/>
        <c:crossAx val="65547565"/>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
          <c:y val="0.0365"/>
          <c:w val="0.8242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BatesCalc!$Q$10:$Q$39</c:f>
              <c:numCache/>
            </c:numRef>
          </c:val>
          <c:smooth val="0"/>
        </c:ser>
        <c:axId val="7752519"/>
        <c:axId val="2663808"/>
      </c:lineChart>
      <c:catAx>
        <c:axId val="7752519"/>
        <c:scaling>
          <c:orientation val="minMax"/>
        </c:scaling>
        <c:axPos val="b"/>
        <c:delete val="0"/>
        <c:numFmt formatCode="General" sourceLinked="1"/>
        <c:majorTickMark val="out"/>
        <c:minorTickMark val="none"/>
        <c:tickLblPos val="nextTo"/>
        <c:crossAx val="2663808"/>
        <c:crosses val="autoZero"/>
        <c:auto val="1"/>
        <c:lblOffset val="100"/>
        <c:noMultiLvlLbl val="0"/>
      </c:catAx>
      <c:valAx>
        <c:axId val="2663808"/>
        <c:scaling>
          <c:orientation val="minMax"/>
          <c:max val="350"/>
          <c:min val="0"/>
        </c:scaling>
        <c:axPos val="l"/>
        <c:majorGridlines/>
        <c:delete val="0"/>
        <c:numFmt formatCode="0" sourceLinked="0"/>
        <c:majorTickMark val="out"/>
        <c:minorTickMark val="none"/>
        <c:tickLblPos val="nextTo"/>
        <c:crossAx val="7752519"/>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'[1]Uninhibited Grain Kn Calculator'!$Q$10:$Q$39</c:f>
              <c:numCache>
                <c:ptCount val="30"/>
                <c:pt idx="0">
                  <c:v>300.3223110142981</c:v>
                </c:pt>
                <c:pt idx="1">
                  <c:v>297.73202204414605</c:v>
                </c:pt>
                <c:pt idx="2">
                  <c:v>295.1055542237689</c:v>
                </c:pt>
                <c:pt idx="3">
                  <c:v>292.44290755316655</c:v>
                </c:pt>
                <c:pt idx="4">
                  <c:v>289.7440820323391</c:v>
                </c:pt>
                <c:pt idx="5">
                  <c:v>287.00907766128637</c:v>
                </c:pt>
                <c:pt idx="6">
                  <c:v>284.2378944400086</c:v>
                </c:pt>
                <c:pt idx="7">
                  <c:v>281.43053236850574</c:v>
                </c:pt>
                <c:pt idx="8">
                  <c:v>278.58699144677763</c:v>
                </c:pt>
                <c:pt idx="9">
                  <c:v>275.70727167482437</c:v>
                </c:pt>
                <c:pt idx="10">
                  <c:v>272.791373052646</c:v>
                </c:pt>
                <c:pt idx="11">
                  <c:v>269.83929558024255</c:v>
                </c:pt>
                <c:pt idx="12">
                  <c:v>266.8510392576139</c:v>
                </c:pt>
                <c:pt idx="13">
                  <c:v>263.82660408476005</c:v>
                </c:pt>
                <c:pt idx="14">
                  <c:v>260.76599006168107</c:v>
                </c:pt>
                <c:pt idx="15">
                  <c:v>257.6691971883769</c:v>
                </c:pt>
                <c:pt idx="16">
                  <c:v>254.53622546484772</c:v>
                </c:pt>
                <c:pt idx="17">
                  <c:v>251.36707489109332</c:v>
                </c:pt>
                <c:pt idx="18">
                  <c:v>248.16174546711375</c:v>
                </c:pt>
                <c:pt idx="19">
                  <c:v>244.92023719290904</c:v>
                </c:pt>
                <c:pt idx="20">
                  <c:v>241.64255006847924</c:v>
                </c:pt>
                <c:pt idx="21">
                  <c:v>238.32868409382428</c:v>
                </c:pt>
                <c:pt idx="22">
                  <c:v>234.97863926894408</c:v>
                </c:pt>
                <c:pt idx="23">
                  <c:v>231.5924155938388</c:v>
                </c:pt>
                <c:pt idx="24">
                  <c:v>228.1700130685084</c:v>
                </c:pt>
                <c:pt idx="25">
                  <c:v>224.71143169295289</c:v>
                </c:pt>
                <c:pt idx="26">
                  <c:v>221.21667146717215</c:v>
                </c:pt>
                <c:pt idx="27">
                  <c:v>217.68573239116628</c:v>
                </c:pt>
                <c:pt idx="28">
                  <c:v>214.11861446493523</c:v>
                </c:pt>
                <c:pt idx="29">
                  <c:v>210.51531768847906</c:v>
                </c:pt>
              </c:numCache>
            </c:numRef>
          </c:val>
          <c:smooth val="0"/>
        </c:ser>
        <c:axId val="23974273"/>
        <c:axId val="14441866"/>
      </c:lineChart>
      <c:catAx>
        <c:axId val="23974273"/>
        <c:scaling>
          <c:orientation val="minMax"/>
        </c:scaling>
        <c:axPos val="b"/>
        <c:delete val="0"/>
        <c:numFmt formatCode="General" sourceLinked="1"/>
        <c:majorTickMark val="out"/>
        <c:minorTickMark val="none"/>
        <c:tickLblPos val="nextTo"/>
        <c:crossAx val="14441866"/>
        <c:crosses val="autoZero"/>
        <c:auto val="1"/>
        <c:lblOffset val="100"/>
        <c:noMultiLvlLbl val="0"/>
      </c:catAx>
      <c:valAx>
        <c:axId val="14441866"/>
        <c:scaling>
          <c:orientation val="minMax"/>
          <c:max val="350"/>
          <c:min val="0"/>
        </c:scaling>
        <c:axPos val="l"/>
        <c:majorGridlines/>
        <c:delete val="0"/>
        <c:numFmt formatCode="0" sourceLinked="0"/>
        <c:majorTickMark val="out"/>
        <c:minorTickMark val="none"/>
        <c:tickLblPos val="nextTo"/>
        <c:crossAx val="23974273"/>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of Golden Syrup rcandy.  120g Lyle's Golden Syrup mixed with 200g food-grade KNO3 and 200ml water.  It seemed powdery at some points, but as it cooled to 230 degrees or so, mixing it more made it self-cohesive, and it ended up with a farily good texture.  Burn rate 10 seconds per inch at 1 atmosphere, so I thought it would be like ordinary KN/Sucrose/corn syrup, but in the motor seems to burn more slowly.
I believe this batch has more water remaining than my usual KN/SU.  It is a little bit flexible, even when fully cooled.  So I wonder if the extra water slowed the burn rate?  Must experiment further.  
Interesting "flickering" of flame suggested that burn was intermittent, but thrust was steady, and conformed to predicted curve, slightly regressive.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2861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0668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25908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664845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2657475" y="95250"/>
          <a:ext cx="5143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2619375" y="276225"/>
          <a:ext cx="5524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2619375" y="295275"/>
          <a:ext cx="5524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2619375" y="314325"/>
          <a:ext cx="5524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2628900" y="323850"/>
          <a:ext cx="56197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jamesyawn.com\htdocs\kncalc\uninhibCalc2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nhibited Grain Kn Calculator"/>
      <sheetName val="The Uninhibited Grain"/>
      <sheetName val="Centerfold - Granny Bates "/>
      <sheetName val="Notes"/>
    </sheetNames>
    <sheetDataSet>
      <sheetData sheetId="0">
        <row r="10">
          <cell r="Q10">
            <v>300.3223110142981</v>
          </cell>
        </row>
        <row r="11">
          <cell r="Q11">
            <v>297.73202204414605</v>
          </cell>
        </row>
        <row r="12">
          <cell r="Q12">
            <v>295.1055542237689</v>
          </cell>
        </row>
        <row r="13">
          <cell r="Q13">
            <v>292.44290755316655</v>
          </cell>
        </row>
        <row r="14">
          <cell r="Q14">
            <v>289.7440820323391</v>
          </cell>
        </row>
        <row r="15">
          <cell r="Q15">
            <v>287.00907766128637</v>
          </cell>
        </row>
        <row r="16">
          <cell r="Q16">
            <v>284.2378944400086</v>
          </cell>
        </row>
        <row r="17">
          <cell r="Q17">
            <v>281.43053236850574</v>
          </cell>
        </row>
        <row r="18">
          <cell r="Q18">
            <v>278.58699144677763</v>
          </cell>
        </row>
        <row r="19">
          <cell r="Q19">
            <v>275.70727167482437</v>
          </cell>
        </row>
        <row r="20">
          <cell r="Q20">
            <v>272.791373052646</v>
          </cell>
        </row>
        <row r="21">
          <cell r="Q21">
            <v>269.83929558024255</v>
          </cell>
        </row>
        <row r="22">
          <cell r="Q22">
            <v>266.8510392576139</v>
          </cell>
        </row>
        <row r="23">
          <cell r="Q23">
            <v>263.82660408476005</v>
          </cell>
        </row>
        <row r="24">
          <cell r="Q24">
            <v>260.76599006168107</v>
          </cell>
        </row>
        <row r="25">
          <cell r="Q25">
            <v>257.6691971883769</v>
          </cell>
        </row>
        <row r="26">
          <cell r="Q26">
            <v>254.53622546484772</v>
          </cell>
        </row>
        <row r="27">
          <cell r="Q27">
            <v>251.36707489109332</v>
          </cell>
        </row>
        <row r="28">
          <cell r="Q28">
            <v>248.16174546711375</v>
          </cell>
        </row>
        <row r="29">
          <cell r="Q29">
            <v>244.92023719290904</v>
          </cell>
        </row>
        <row r="30">
          <cell r="Q30">
            <v>241.64255006847924</v>
          </cell>
        </row>
        <row r="31">
          <cell r="Q31">
            <v>238.32868409382428</v>
          </cell>
        </row>
        <row r="32">
          <cell r="Q32">
            <v>234.97863926894408</v>
          </cell>
        </row>
        <row r="33">
          <cell r="Q33">
            <v>231.5924155938388</v>
          </cell>
        </row>
        <row r="34">
          <cell r="Q34">
            <v>228.1700130685084</v>
          </cell>
        </row>
        <row r="35">
          <cell r="Q35">
            <v>224.71143169295289</v>
          </cell>
        </row>
        <row r="36">
          <cell r="Q36">
            <v>221.21667146717215</v>
          </cell>
        </row>
        <row r="37">
          <cell r="Q37">
            <v>217.68573239116628</v>
          </cell>
        </row>
        <row r="38">
          <cell r="Q38">
            <v>214.11861446493523</v>
          </cell>
        </row>
        <row r="39">
          <cell r="Q39">
            <v>210.51531768847906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170</v>
      </c>
      <c r="B1" t="s">
        <v>172</v>
      </c>
    </row>
    <row r="2" ht="12.75">
      <c r="B2" t="s">
        <v>163</v>
      </c>
    </row>
    <row r="3" ht="12.75">
      <c r="B3" t="s">
        <v>162</v>
      </c>
    </row>
    <row r="4" ht="12.75">
      <c r="B4" t="s">
        <v>174</v>
      </c>
    </row>
    <row r="5" ht="12.75">
      <c r="B5" t="s">
        <v>173</v>
      </c>
    </row>
    <row r="8" spans="3:7" ht="12.75">
      <c r="C8" t="s">
        <v>6</v>
      </c>
      <c r="F8" t="s">
        <v>6</v>
      </c>
      <c r="G8" t="s">
        <v>6</v>
      </c>
    </row>
    <row r="9" spans="9:13" ht="12.75">
      <c r="I9" t="s">
        <v>47</v>
      </c>
      <c r="J9">
        <v>1</v>
      </c>
      <c r="K9">
        <v>2</v>
      </c>
      <c r="L9">
        <v>3</v>
      </c>
      <c r="M9">
        <v>4</v>
      </c>
    </row>
    <row r="10" spans="9:10" ht="12.75">
      <c r="I10" t="s">
        <v>13</v>
      </c>
      <c r="J10" s="5" t="s">
        <v>157</v>
      </c>
    </row>
    <row r="11" spans="9:10" ht="12.75">
      <c r="I11" t="s">
        <v>14</v>
      </c>
      <c r="J11" t="s">
        <v>167</v>
      </c>
    </row>
    <row r="12" spans="9:10" ht="12.75">
      <c r="I12" t="s">
        <v>15</v>
      </c>
      <c r="J12" t="s">
        <v>168</v>
      </c>
    </row>
    <row r="13" spans="11:19" ht="12.75">
      <c r="K13" t="s">
        <v>6</v>
      </c>
      <c r="N13" t="s">
        <v>42</v>
      </c>
      <c r="P13" t="s">
        <v>56</v>
      </c>
      <c r="R13">
        <v>0.56</v>
      </c>
      <c r="S13" t="s">
        <v>43</v>
      </c>
    </row>
    <row r="14" spans="9:16" ht="12.75">
      <c r="I14" t="s">
        <v>18</v>
      </c>
      <c r="J14">
        <v>3.626</v>
      </c>
      <c r="N14" s="1">
        <f>SUM(J14:M14)</f>
        <v>3.626</v>
      </c>
      <c r="O14" t="s">
        <v>11</v>
      </c>
      <c r="P14" t="s">
        <v>6</v>
      </c>
    </row>
    <row r="15" spans="9:16" ht="12.75">
      <c r="I15" t="s">
        <v>16</v>
      </c>
      <c r="J15">
        <v>1.174</v>
      </c>
      <c r="N15" s="1">
        <f>AVERAGE(J15:M15)</f>
        <v>1.174</v>
      </c>
      <c r="O15" t="s">
        <v>11</v>
      </c>
      <c r="P15" t="s">
        <v>6</v>
      </c>
    </row>
    <row r="16" spans="9:15" ht="12.75">
      <c r="I16" t="s">
        <v>17</v>
      </c>
      <c r="J16">
        <v>0.376</v>
      </c>
      <c r="N16" s="1">
        <f>AVERAGE(J16:M16)</f>
        <v>0.376</v>
      </c>
      <c r="O16" t="s">
        <v>51</v>
      </c>
    </row>
    <row r="17" spans="9:16" ht="12.75">
      <c r="I17" t="s">
        <v>50</v>
      </c>
      <c r="J17">
        <v>100.1</v>
      </c>
      <c r="K17" t="s">
        <v>161</v>
      </c>
      <c r="N17" s="1">
        <f>SUM(J17:M17)</f>
        <v>100.1</v>
      </c>
      <c r="O17" t="s">
        <v>23</v>
      </c>
      <c r="P17" t="s">
        <v>6</v>
      </c>
    </row>
    <row r="18" spans="9:15" ht="12.75">
      <c r="I18" t="s">
        <v>37</v>
      </c>
      <c r="J18">
        <f>(J15-J16)/2</f>
        <v>0.39899999999999997</v>
      </c>
      <c r="M18">
        <f>(M15-M16)/2</f>
        <v>0</v>
      </c>
      <c r="N18" s="1">
        <f>AVERAGE(J18:J18)</f>
        <v>0.39899999999999997</v>
      </c>
      <c r="O18" t="s">
        <v>11</v>
      </c>
    </row>
    <row r="19" spans="9:15" ht="12.75">
      <c r="I19" t="s">
        <v>41</v>
      </c>
      <c r="J19">
        <v>101.7</v>
      </c>
      <c r="K19" t="s">
        <v>158</v>
      </c>
      <c r="M19">
        <f>M17-(R13*M14)</f>
        <v>0</v>
      </c>
      <c r="N19" s="1">
        <f>SUM(J19:M19)</f>
        <v>101.7</v>
      </c>
      <c r="O19" t="s">
        <v>23</v>
      </c>
    </row>
    <row r="21" ht="12.75">
      <c r="I21" t="s">
        <v>9</v>
      </c>
    </row>
    <row r="22" spans="9:12" ht="12.75">
      <c r="I22" t="s">
        <v>19</v>
      </c>
      <c r="J22" s="1">
        <v>0.304</v>
      </c>
      <c r="K22" t="s">
        <v>11</v>
      </c>
      <c r="L22" t="s">
        <v>164</v>
      </c>
    </row>
    <row r="23" spans="9:11" ht="12.75">
      <c r="I23" t="s">
        <v>20</v>
      </c>
      <c r="J23">
        <v>0.304</v>
      </c>
      <c r="K23" t="s">
        <v>11</v>
      </c>
    </row>
    <row r="24" spans="9:13" ht="12.75">
      <c r="I24" t="s">
        <v>39</v>
      </c>
      <c r="J24" s="1">
        <f>J23-J22</f>
        <v>0</v>
      </c>
      <c r="K24" t="s">
        <v>11</v>
      </c>
      <c r="L24">
        <f>(J24/J22)*100</f>
        <v>0</v>
      </c>
      <c r="M24" t="s">
        <v>80</v>
      </c>
    </row>
    <row r="26" spans="10:11" ht="12.75">
      <c r="J26" t="s">
        <v>21</v>
      </c>
      <c r="K26" t="s">
        <v>76</v>
      </c>
    </row>
    <row r="27" spans="9:14" ht="12.75">
      <c r="I27" t="s">
        <v>8</v>
      </c>
      <c r="J27">
        <v>272</v>
      </c>
      <c r="K27">
        <v>1100</v>
      </c>
      <c r="M27" t="s">
        <v>77</v>
      </c>
      <c r="N27" t="s">
        <v>44</v>
      </c>
    </row>
    <row r="28" spans="9:15" ht="12.75">
      <c r="I28" t="s">
        <v>22</v>
      </c>
      <c r="J28">
        <v>272</v>
      </c>
      <c r="K28">
        <v>1100</v>
      </c>
      <c r="M28" t="s">
        <v>77</v>
      </c>
      <c r="N28" t="s">
        <v>33</v>
      </c>
      <c r="O28">
        <f>((J22/2)^2)*PI()</f>
        <v>0.07258335666853857</v>
      </c>
    </row>
    <row r="29" spans="9:15" ht="12.75">
      <c r="I29" t="s">
        <v>10</v>
      </c>
      <c r="J29">
        <v>188</v>
      </c>
      <c r="K29">
        <v>600</v>
      </c>
      <c r="M29" t="s">
        <v>77</v>
      </c>
      <c r="N29" t="s">
        <v>35</v>
      </c>
      <c r="O29">
        <f>B32/O28</f>
        <v>627.218682071963</v>
      </c>
    </row>
    <row r="30" spans="9:14" ht="12.75">
      <c r="I30" t="s">
        <v>36</v>
      </c>
      <c r="J30">
        <f>(N18/B34)/2</f>
        <v>0.27050847457627114</v>
      </c>
      <c r="K30" t="s">
        <v>38</v>
      </c>
      <c r="N30" t="s">
        <v>45</v>
      </c>
    </row>
    <row r="31" ht="12.75">
      <c r="L31" t="s">
        <v>78</v>
      </c>
    </row>
    <row r="32" spans="1:3" ht="12.75">
      <c r="A32" t="s">
        <v>12</v>
      </c>
      <c r="B32" s="1">
        <f>MAX(Data!B10:B500)</f>
        <v>45.52563730999999</v>
      </c>
      <c r="C32" t="s">
        <v>30</v>
      </c>
    </row>
    <row r="33" spans="1:7" ht="12.75">
      <c r="A33" t="s">
        <v>2</v>
      </c>
      <c r="B33" s="1">
        <f>AVERAGE(Data!B35:B212)</f>
        <v>37.28376952912352</v>
      </c>
      <c r="C33" t="s">
        <v>27</v>
      </c>
      <c r="G33" t="s">
        <v>6</v>
      </c>
    </row>
    <row r="34" spans="1:3" ht="12.75">
      <c r="A34" t="s">
        <v>0</v>
      </c>
      <c r="B34" s="2">
        <f>(212-35)/240</f>
        <v>0.7375</v>
      </c>
      <c r="C34" t="s">
        <v>31</v>
      </c>
    </row>
    <row r="35" spans="1:6" ht="12.75">
      <c r="A35" t="s">
        <v>3</v>
      </c>
      <c r="B35" s="2">
        <f>((SUM(Data!B35:B212))/240)</f>
        <v>27.652129067433275</v>
      </c>
      <c r="C35" t="s">
        <v>4</v>
      </c>
      <c r="F35" t="s">
        <v>6</v>
      </c>
    </row>
    <row r="36" spans="1:9" ht="12.75">
      <c r="A36" t="s">
        <v>3</v>
      </c>
      <c r="B36" s="2">
        <f>B35*4.448</f>
        <v>122.99667009194322</v>
      </c>
      <c r="C36" t="s">
        <v>5</v>
      </c>
      <c r="I36" s="3"/>
    </row>
    <row r="37" spans="1:3" ht="12.75">
      <c r="A37" t="s">
        <v>69</v>
      </c>
      <c r="B37" s="1">
        <f>(N19)/1000</f>
        <v>0.1017</v>
      </c>
      <c r="C37" t="s">
        <v>49</v>
      </c>
    </row>
    <row r="38" spans="1:3" ht="12.75">
      <c r="A38" t="s">
        <v>69</v>
      </c>
      <c r="B38" s="3">
        <f>B37/453.54*1000</f>
        <v>0.22423601005423996</v>
      </c>
      <c r="C38" t="s">
        <v>7</v>
      </c>
    </row>
    <row r="39" spans="1:3" ht="12.75">
      <c r="A39" t="s">
        <v>103</v>
      </c>
      <c r="B39" s="2">
        <f>(B36/B37)/9.8</f>
        <v>123.40885566988061</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0.547</v>
      </c>
      <c r="J43">
        <f>(I43)/H43</f>
        <v>0.03646666666666667</v>
      </c>
      <c r="K43">
        <f>1/J43</f>
        <v>27.422303473491773</v>
      </c>
    </row>
    <row r="44" spans="1:11" ht="12.75">
      <c r="A44" t="s">
        <v>29</v>
      </c>
      <c r="H44">
        <v>30</v>
      </c>
      <c r="I44" s="3">
        <v>1.094</v>
      </c>
      <c r="J44">
        <f>(I44)/H44</f>
        <v>0.03646666666666667</v>
      </c>
      <c r="K44">
        <f>1/J44</f>
        <v>27.422303473491773</v>
      </c>
    </row>
    <row r="45" spans="1:11" ht="12.75">
      <c r="A45" t="s">
        <v>32</v>
      </c>
      <c r="H45">
        <v>45</v>
      </c>
      <c r="I45" s="3">
        <v>1.641</v>
      </c>
      <c r="J45">
        <f>(I45)/H45</f>
        <v>0.03646666666666667</v>
      </c>
      <c r="K45">
        <f>1/J45</f>
        <v>27.422303473491773</v>
      </c>
    </row>
    <row r="46" spans="8:11" ht="12.75">
      <c r="H46">
        <v>55</v>
      </c>
      <c r="I46" s="3">
        <v>2.012</v>
      </c>
      <c r="J46">
        <f>(I46)/H46</f>
        <v>0.03658181818181818</v>
      </c>
      <c r="K46">
        <f>1/J46</f>
        <v>27.335984095427435</v>
      </c>
    </row>
    <row r="47" spans="1:11" ht="12.75">
      <c r="A47" t="s">
        <v>6</v>
      </c>
      <c r="G47" t="s">
        <v>6</v>
      </c>
      <c r="H47">
        <v>65</v>
      </c>
      <c r="I47" s="3">
        <v>2.246</v>
      </c>
      <c r="J47">
        <f>(I47)/H47</f>
        <v>0.03455384615384616</v>
      </c>
      <c r="K47">
        <f>1/J47</f>
        <v>28.940338379341046</v>
      </c>
    </row>
    <row r="48" spans="8:11" ht="12.75">
      <c r="H48" t="s">
        <v>6</v>
      </c>
      <c r="I48" s="3" t="s">
        <v>6</v>
      </c>
      <c r="J48" t="s">
        <v>6</v>
      </c>
      <c r="K48" t="s">
        <v>6</v>
      </c>
    </row>
    <row r="49" ht="12.75">
      <c r="I49" s="3"/>
    </row>
    <row r="50" spans="1:9" ht="12.75">
      <c r="A50" t="s">
        <v>79</v>
      </c>
      <c r="I50" s="3"/>
    </row>
    <row r="51" spans="1:9" ht="12.75">
      <c r="A51" t="s">
        <v>102</v>
      </c>
      <c r="B51">
        <v>0.06</v>
      </c>
      <c r="C51" t="s">
        <v>54</v>
      </c>
      <c r="D51">
        <f>B52-B51</f>
        <v>0.333</v>
      </c>
      <c r="E51" t="s">
        <v>55</v>
      </c>
      <c r="I51" s="3"/>
    </row>
    <row r="52" spans="1:12" ht="12.75">
      <c r="A52" t="s">
        <v>52</v>
      </c>
      <c r="B52">
        <v>0.393</v>
      </c>
      <c r="I52" s="7" t="s">
        <v>67</v>
      </c>
      <c r="J52">
        <f>AVERAGE(J44:J50)</f>
        <v>0.03601724941724942</v>
      </c>
      <c r="K52">
        <f>AVERAGE(K43:K44)</f>
        <v>27.422303473491773</v>
      </c>
      <c r="L52" t="s">
        <v>169</v>
      </c>
    </row>
    <row r="53" spans="1:11" ht="12.75">
      <c r="A53" t="s">
        <v>75</v>
      </c>
      <c r="B53">
        <v>0.46</v>
      </c>
      <c r="K53" t="s">
        <v>70</v>
      </c>
    </row>
    <row r="54" spans="1:11" ht="12.75">
      <c r="A54" t="s">
        <v>53</v>
      </c>
      <c r="B54">
        <v>1.094</v>
      </c>
      <c r="C54" t="s">
        <v>0</v>
      </c>
      <c r="D54">
        <f>B54-B52</f>
        <v>0.7010000000000001</v>
      </c>
      <c r="E54" t="s">
        <v>55</v>
      </c>
      <c r="K54" t="s">
        <v>71</v>
      </c>
    </row>
    <row r="55" spans="1:11" ht="12.75">
      <c r="A55" t="s">
        <v>6</v>
      </c>
      <c r="B55" t="s">
        <v>6</v>
      </c>
      <c r="C55" t="s">
        <v>6</v>
      </c>
      <c r="D55" t="s">
        <v>6</v>
      </c>
      <c r="E55" t="s">
        <v>6</v>
      </c>
      <c r="K55" t="s">
        <v>159</v>
      </c>
    </row>
    <row r="58" ht="12.75">
      <c r="D58" s="2"/>
    </row>
    <row r="59" ht="12.75">
      <c r="A59" t="s">
        <v>72</v>
      </c>
    </row>
    <row r="60" ht="12.75">
      <c r="A60" s="8">
        <v>39053</v>
      </c>
    </row>
    <row r="61" ht="12.75">
      <c r="A61" s="9" t="s">
        <v>73</v>
      </c>
    </row>
    <row r="62" spans="1:6" ht="12.75">
      <c r="A62" s="9" t="s">
        <v>74</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C213" sqref="C213"/>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160</v>
      </c>
    </row>
    <row r="9" spans="1:5" ht="12.75">
      <c r="A9" t="s">
        <v>24</v>
      </c>
      <c r="B9" t="s">
        <v>28</v>
      </c>
      <c r="D9" t="s">
        <v>34</v>
      </c>
      <c r="E9" t="s">
        <v>40</v>
      </c>
    </row>
    <row r="10" spans="1:5" ht="12.75">
      <c r="A10" s="1">
        <v>0.019531</v>
      </c>
      <c r="B10" s="1">
        <f>(A10*27.4223)-0.5356</f>
        <v>-1.5058699999959124E-05</v>
      </c>
      <c r="C10" t="s">
        <v>6</v>
      </c>
      <c r="D10" s="20">
        <f>MAX(B10:B384)</f>
        <v>45.52563730999999</v>
      </c>
      <c r="E10">
        <f>D10/10</f>
        <v>4.552563730999999</v>
      </c>
    </row>
    <row r="11" spans="1:3" ht="12.75">
      <c r="A11" s="1">
        <v>0.019531</v>
      </c>
      <c r="B11" s="1">
        <f aca="true" t="shared" si="0" ref="B11:B74">(A11*27.4223)-0.5356</f>
        <v>-1.5058699999959124E-05</v>
      </c>
      <c r="C11" t="s">
        <v>6</v>
      </c>
    </row>
    <row r="12" spans="1:2" ht="12.75">
      <c r="A12" s="1">
        <v>0.019531</v>
      </c>
      <c r="B12" s="1">
        <f t="shared" si="0"/>
        <v>-1.5058699999959124E-05</v>
      </c>
    </row>
    <row r="13" spans="1:4" ht="12.75">
      <c r="A13" s="1">
        <v>0.019531</v>
      </c>
      <c r="B13" s="1">
        <f t="shared" si="0"/>
        <v>-1.5058699999959124E-05</v>
      </c>
      <c r="D13" t="s">
        <v>6</v>
      </c>
    </row>
    <row r="14" spans="1:4" ht="12.75">
      <c r="A14" s="1">
        <v>0.039063</v>
      </c>
      <c r="B14" s="1">
        <f t="shared" si="0"/>
        <v>0.5355973049000001</v>
      </c>
      <c r="D14" t="s">
        <v>6</v>
      </c>
    </row>
    <row r="15" spans="1:4" ht="12.75">
      <c r="A15" s="1">
        <v>0</v>
      </c>
      <c r="B15" s="1">
        <f t="shared" si="0"/>
        <v>-0.5356</v>
      </c>
      <c r="D15" t="s">
        <v>6</v>
      </c>
    </row>
    <row r="16" spans="1:2" ht="12.75">
      <c r="A16" s="1">
        <v>0.019531</v>
      </c>
      <c r="B16" s="1">
        <f t="shared" si="0"/>
        <v>-1.5058699999959124E-05</v>
      </c>
    </row>
    <row r="17" spans="1:2" ht="12.75">
      <c r="A17" s="1">
        <v>0.019531</v>
      </c>
      <c r="B17" s="1">
        <f t="shared" si="0"/>
        <v>-1.5058699999959124E-05</v>
      </c>
    </row>
    <row r="18" spans="1:2" ht="12.75">
      <c r="A18" s="1">
        <v>0.019531</v>
      </c>
      <c r="B18" s="1">
        <f t="shared" si="0"/>
        <v>-1.5058699999959124E-05</v>
      </c>
    </row>
    <row r="19" spans="1:2" ht="12.75">
      <c r="A19" s="1">
        <v>0.019531</v>
      </c>
      <c r="B19" s="1">
        <f t="shared" si="0"/>
        <v>-1.5058699999959124E-05</v>
      </c>
    </row>
    <row r="20" spans="1:2" ht="12.75">
      <c r="A20" s="1">
        <v>0.019531</v>
      </c>
      <c r="B20" s="1">
        <f t="shared" si="0"/>
        <v>-1.5058699999959124E-05</v>
      </c>
    </row>
    <row r="21" spans="1:2" ht="12.75">
      <c r="A21" s="1">
        <v>0.019531</v>
      </c>
      <c r="B21" s="1">
        <f t="shared" si="0"/>
        <v>-1.5058699999959124E-05</v>
      </c>
    </row>
    <row r="22" spans="1:2" ht="12.75">
      <c r="A22" s="1">
        <v>0.019531</v>
      </c>
      <c r="B22" s="1">
        <f t="shared" si="0"/>
        <v>-1.5058699999959124E-05</v>
      </c>
    </row>
    <row r="23" spans="1:3" ht="12.75">
      <c r="A23" s="1">
        <v>0.019531</v>
      </c>
      <c r="B23" s="1">
        <f t="shared" si="0"/>
        <v>-1.5058699999959124E-05</v>
      </c>
      <c r="C23" t="s">
        <v>6</v>
      </c>
    </row>
    <row r="24" spans="1:2" ht="12.75">
      <c r="A24" s="1">
        <v>0.019531</v>
      </c>
      <c r="B24" s="1">
        <f t="shared" si="0"/>
        <v>-1.5058699999959124E-05</v>
      </c>
    </row>
    <row r="25" spans="1:2" ht="12.75">
      <c r="A25" s="1">
        <v>0.019531</v>
      </c>
      <c r="B25" s="1">
        <f t="shared" si="0"/>
        <v>-1.5058699999959124E-05</v>
      </c>
    </row>
    <row r="26" spans="1:2" ht="12.75">
      <c r="A26" s="1">
        <v>0.039063</v>
      </c>
      <c r="B26" s="1">
        <f t="shared" si="0"/>
        <v>0.5355973049000001</v>
      </c>
    </row>
    <row r="27" spans="1:2" ht="12.75">
      <c r="A27" s="1">
        <v>0.039063</v>
      </c>
      <c r="B27" s="1">
        <f t="shared" si="0"/>
        <v>0.5355973049000001</v>
      </c>
    </row>
    <row r="28" spans="1:2" ht="12.75">
      <c r="A28" s="1">
        <v>0.039063</v>
      </c>
      <c r="B28" s="1">
        <f t="shared" si="0"/>
        <v>0.5355973049000001</v>
      </c>
    </row>
    <row r="29" spans="1:2" ht="12.75">
      <c r="A29" s="1">
        <v>0.058594</v>
      </c>
      <c r="B29" s="1">
        <f t="shared" si="0"/>
        <v>1.0711822462000002</v>
      </c>
    </row>
    <row r="30" spans="1:2" ht="12.75">
      <c r="A30" s="1">
        <v>0.11719</v>
      </c>
      <c r="B30" s="1">
        <f t="shared" si="0"/>
        <v>2.678019337</v>
      </c>
    </row>
    <row r="31" spans="1:2" ht="12.75">
      <c r="A31" s="1">
        <v>0.21484</v>
      </c>
      <c r="B31" s="1">
        <f t="shared" si="0"/>
        <v>5.355806932</v>
      </c>
    </row>
    <row r="32" spans="1:2" ht="12.75">
      <c r="A32" s="1">
        <v>0</v>
      </c>
      <c r="B32" s="1">
        <f t="shared" si="0"/>
        <v>-0.5356</v>
      </c>
    </row>
    <row r="33" spans="1:2" ht="12.75">
      <c r="A33" s="1">
        <v>-0.019531</v>
      </c>
      <c r="B33" s="1">
        <f t="shared" si="0"/>
        <v>-1.0711849412999999</v>
      </c>
    </row>
    <row r="34" spans="1:2" ht="12.75">
      <c r="A34" s="1">
        <v>0.29297</v>
      </c>
      <c r="B34" s="1">
        <f t="shared" si="0"/>
        <v>7.498311231</v>
      </c>
    </row>
    <row r="35" spans="1:3" ht="12.75">
      <c r="A35" s="1">
        <v>0.19531</v>
      </c>
      <c r="B35" s="1">
        <f t="shared" si="0"/>
        <v>4.820249413000001</v>
      </c>
      <c r="C35" t="s">
        <v>48</v>
      </c>
    </row>
    <row r="36" spans="1:3" ht="12.75">
      <c r="A36" s="1">
        <v>0.37109</v>
      </c>
      <c r="B36" s="1">
        <f t="shared" si="0"/>
        <v>9.640541307</v>
      </c>
      <c r="C36" s="1"/>
    </row>
    <row r="37" spans="1:2" ht="12.75">
      <c r="A37" s="1">
        <v>0.33203</v>
      </c>
      <c r="B37" s="1">
        <f t="shared" si="0"/>
        <v>8.569426269</v>
      </c>
    </row>
    <row r="38" spans="1:2" ht="12.75">
      <c r="A38" s="1">
        <v>0.37109</v>
      </c>
      <c r="B38" s="1">
        <f t="shared" si="0"/>
        <v>9.640541307</v>
      </c>
    </row>
    <row r="39" spans="1:2" ht="12.75">
      <c r="A39" s="1">
        <v>0.48828</v>
      </c>
      <c r="B39" s="1">
        <f t="shared" si="0"/>
        <v>12.854160643999998</v>
      </c>
    </row>
    <row r="40" spans="1:2" ht="12.75">
      <c r="A40" s="1">
        <v>0.58594</v>
      </c>
      <c r="B40" s="1">
        <f t="shared" si="0"/>
        <v>15.532222461999998</v>
      </c>
    </row>
    <row r="41" spans="1:2" ht="12.75">
      <c r="A41" s="1">
        <v>0.72266</v>
      </c>
      <c r="B41" s="1">
        <f t="shared" si="0"/>
        <v>19.281399318000002</v>
      </c>
    </row>
    <row r="42" spans="1:2" ht="12.75">
      <c r="A42" s="1">
        <v>0.83984</v>
      </c>
      <c r="B42" s="1">
        <f t="shared" si="0"/>
        <v>22.494744432</v>
      </c>
    </row>
    <row r="43" spans="1:2" ht="12.75">
      <c r="A43" s="1">
        <v>0.89844</v>
      </c>
      <c r="B43" s="1">
        <f t="shared" si="0"/>
        <v>24.101691212000002</v>
      </c>
    </row>
    <row r="44" spans="1:2" ht="12.75">
      <c r="A44" s="1">
        <v>0.89844</v>
      </c>
      <c r="B44" s="1">
        <f t="shared" si="0"/>
        <v>24.101691212000002</v>
      </c>
    </row>
    <row r="45" spans="1:2" ht="12.75">
      <c r="A45" s="1">
        <v>0.87891</v>
      </c>
      <c r="B45" s="1">
        <f t="shared" si="0"/>
        <v>23.566133693</v>
      </c>
    </row>
    <row r="46" spans="1:2" ht="12.75">
      <c r="A46" s="1">
        <v>0.89844</v>
      </c>
      <c r="B46" s="1">
        <f t="shared" si="0"/>
        <v>24.101691212000002</v>
      </c>
    </row>
    <row r="47" spans="1:2" ht="12.75">
      <c r="A47" s="1">
        <v>0.87891</v>
      </c>
      <c r="B47" s="1">
        <f t="shared" si="0"/>
        <v>23.566133693</v>
      </c>
    </row>
    <row r="48" spans="1:2" ht="12.75">
      <c r="A48" s="1">
        <v>0.87891</v>
      </c>
      <c r="B48" s="1">
        <f t="shared" si="0"/>
        <v>23.566133693</v>
      </c>
    </row>
    <row r="49" spans="1:2" ht="12.75">
      <c r="A49" s="1">
        <v>0.87891</v>
      </c>
      <c r="B49" s="1">
        <f t="shared" si="0"/>
        <v>23.566133693</v>
      </c>
    </row>
    <row r="50" spans="1:2" ht="12.75">
      <c r="A50" s="1">
        <v>0.87891</v>
      </c>
      <c r="B50" s="1">
        <f t="shared" si="0"/>
        <v>23.566133693</v>
      </c>
    </row>
    <row r="51" spans="1:2" ht="12.75">
      <c r="A51" s="1">
        <v>0.87891</v>
      </c>
      <c r="B51" s="1">
        <f t="shared" si="0"/>
        <v>23.566133693</v>
      </c>
    </row>
    <row r="52" spans="1:2" ht="12.75">
      <c r="A52" s="1">
        <v>0.91797</v>
      </c>
      <c r="B52" s="1">
        <f t="shared" si="0"/>
        <v>24.637248731</v>
      </c>
    </row>
    <row r="53" spans="1:2" ht="12.75">
      <c r="A53" s="1">
        <v>0.95703</v>
      </c>
      <c r="B53" s="1">
        <f t="shared" si="0"/>
        <v>25.708363769</v>
      </c>
    </row>
    <row r="54" spans="1:2" ht="12.75">
      <c r="A54" s="1">
        <v>0.99609</v>
      </c>
      <c r="B54" s="1">
        <f t="shared" si="0"/>
        <v>26.779478807</v>
      </c>
    </row>
    <row r="55" spans="1:2" ht="12.75">
      <c r="A55" s="1">
        <v>1.0352</v>
      </c>
      <c r="B55" s="1">
        <f t="shared" si="0"/>
        <v>27.85196496</v>
      </c>
    </row>
    <row r="56" spans="1:2" ht="12.75">
      <c r="A56" s="1">
        <v>1.0742</v>
      </c>
      <c r="B56" s="1">
        <f t="shared" si="0"/>
        <v>28.921434660000003</v>
      </c>
    </row>
    <row r="57" spans="1:2" ht="12.75">
      <c r="A57" s="1">
        <v>1.1523</v>
      </c>
      <c r="B57" s="1">
        <f t="shared" si="0"/>
        <v>31.063116290000004</v>
      </c>
    </row>
    <row r="58" spans="1:2" ht="12.75">
      <c r="A58" s="1">
        <v>1.1719</v>
      </c>
      <c r="B58" s="1">
        <f t="shared" si="0"/>
        <v>31.600593370000002</v>
      </c>
    </row>
    <row r="59" spans="1:2" ht="12.75">
      <c r="A59" s="1">
        <v>1.1719</v>
      </c>
      <c r="B59" s="1">
        <f t="shared" si="0"/>
        <v>31.600593370000002</v>
      </c>
    </row>
    <row r="60" spans="1:2" ht="12.75">
      <c r="A60" s="1">
        <v>1.1914</v>
      </c>
      <c r="B60" s="1">
        <f t="shared" si="0"/>
        <v>32.13532822</v>
      </c>
    </row>
    <row r="61" spans="1:2" ht="12.75">
      <c r="A61" s="1">
        <v>1.2109</v>
      </c>
      <c r="B61" s="1">
        <f t="shared" si="0"/>
        <v>32.67006307</v>
      </c>
    </row>
    <row r="62" spans="1:2" ht="12.75">
      <c r="A62" s="1">
        <v>1.25</v>
      </c>
      <c r="B62" s="1">
        <f t="shared" si="0"/>
        <v>33.742275</v>
      </c>
    </row>
    <row r="63" spans="1:2" ht="12.75">
      <c r="A63" s="1">
        <v>1.2695</v>
      </c>
      <c r="B63" s="1">
        <f t="shared" si="0"/>
        <v>34.27700985</v>
      </c>
    </row>
    <row r="64" spans="1:2" ht="12.75">
      <c r="A64" s="1">
        <v>1.3086</v>
      </c>
      <c r="B64" s="1">
        <f t="shared" si="0"/>
        <v>35.34922178</v>
      </c>
    </row>
    <row r="65" spans="1:2" ht="12.75">
      <c r="A65" s="1">
        <v>1.3281</v>
      </c>
      <c r="B65" s="1">
        <f t="shared" si="0"/>
        <v>35.88395663</v>
      </c>
    </row>
    <row r="66" spans="1:2" ht="12.75">
      <c r="A66" s="1">
        <v>1.3672</v>
      </c>
      <c r="B66" s="1">
        <f t="shared" si="0"/>
        <v>36.956168559999995</v>
      </c>
    </row>
    <row r="67" spans="1:2" ht="12.75">
      <c r="A67" s="1">
        <v>1.3672</v>
      </c>
      <c r="B67" s="1">
        <f t="shared" si="0"/>
        <v>36.956168559999995</v>
      </c>
    </row>
    <row r="68" spans="1:2" ht="12.75">
      <c r="A68" s="1">
        <v>1.4063</v>
      </c>
      <c r="B68" s="1">
        <f t="shared" si="0"/>
        <v>38.02838049</v>
      </c>
    </row>
    <row r="69" spans="1:2" ht="12.75">
      <c r="A69" s="1">
        <v>1.4453</v>
      </c>
      <c r="B69" s="1">
        <f t="shared" si="0"/>
        <v>39.097850189999996</v>
      </c>
    </row>
    <row r="70" spans="1:2" ht="12.75">
      <c r="A70" s="1">
        <v>1.5625</v>
      </c>
      <c r="B70" s="1">
        <f t="shared" si="0"/>
        <v>42.31174375</v>
      </c>
    </row>
    <row r="71" spans="1:2" ht="12.75">
      <c r="A71" s="1">
        <v>1.6602</v>
      </c>
      <c r="B71" s="1">
        <f t="shared" si="0"/>
        <v>44.990902459999994</v>
      </c>
    </row>
    <row r="72" spans="1:2" ht="12.75">
      <c r="A72" s="1">
        <v>1.6797</v>
      </c>
      <c r="B72" s="1">
        <f t="shared" si="0"/>
        <v>45.52563730999999</v>
      </c>
    </row>
    <row r="73" spans="1:2" ht="12.75">
      <c r="A73" s="1">
        <v>1.6797</v>
      </c>
      <c r="B73" s="1">
        <f t="shared" si="0"/>
        <v>45.52563730999999</v>
      </c>
    </row>
    <row r="74" spans="1:2" ht="12.75">
      <c r="A74" s="1">
        <v>1.6797</v>
      </c>
      <c r="B74" s="1">
        <f t="shared" si="0"/>
        <v>45.52563730999999</v>
      </c>
    </row>
    <row r="75" spans="1:2" ht="12.75">
      <c r="A75" s="1">
        <v>1.6602</v>
      </c>
      <c r="B75" s="1">
        <f aca="true" t="shared" si="1" ref="B75:B138">(A75*27.4223)-0.5356</f>
        <v>44.990902459999994</v>
      </c>
    </row>
    <row r="76" spans="1:2" ht="12.75">
      <c r="A76" s="1">
        <v>1.6602</v>
      </c>
      <c r="B76" s="1">
        <f t="shared" si="1"/>
        <v>44.990902459999994</v>
      </c>
    </row>
    <row r="77" spans="1:2" ht="12.75">
      <c r="A77" s="1">
        <v>1.6602</v>
      </c>
      <c r="B77" s="1">
        <f t="shared" si="1"/>
        <v>44.990902459999994</v>
      </c>
    </row>
    <row r="78" spans="1:2" ht="12.75">
      <c r="A78" s="1">
        <v>1.6602</v>
      </c>
      <c r="B78" s="1">
        <f t="shared" si="1"/>
        <v>44.990902459999994</v>
      </c>
    </row>
    <row r="79" spans="1:2" ht="12.75">
      <c r="A79" s="1">
        <v>1.6602</v>
      </c>
      <c r="B79" s="1">
        <f t="shared" si="1"/>
        <v>44.990902459999994</v>
      </c>
    </row>
    <row r="80" spans="1:2" ht="12.75">
      <c r="A80" s="1">
        <v>1.6406</v>
      </c>
      <c r="B80" s="1">
        <f t="shared" si="1"/>
        <v>44.45342538</v>
      </c>
    </row>
    <row r="81" spans="1:2" ht="12.75">
      <c r="A81" s="1">
        <v>1.6406</v>
      </c>
      <c r="B81" s="1">
        <f t="shared" si="1"/>
        <v>44.45342538</v>
      </c>
    </row>
    <row r="82" spans="1:2" ht="12.75">
      <c r="A82" s="1">
        <v>1.6406</v>
      </c>
      <c r="B82" s="1">
        <f t="shared" si="1"/>
        <v>44.45342538</v>
      </c>
    </row>
    <row r="83" spans="1:2" ht="12.75">
      <c r="A83" s="1">
        <v>1.6406</v>
      </c>
      <c r="B83" s="1">
        <f t="shared" si="1"/>
        <v>44.45342538</v>
      </c>
    </row>
    <row r="84" spans="1:2" ht="12.75">
      <c r="A84" s="1">
        <v>1.6211</v>
      </c>
      <c r="B84" s="1">
        <f t="shared" si="1"/>
        <v>43.91869053</v>
      </c>
    </row>
    <row r="85" spans="1:2" ht="12.75">
      <c r="A85" s="1">
        <v>1.6211</v>
      </c>
      <c r="B85" s="1">
        <f t="shared" si="1"/>
        <v>43.91869053</v>
      </c>
    </row>
    <row r="86" spans="1:2" ht="12.75">
      <c r="A86" s="1">
        <v>1.6211</v>
      </c>
      <c r="B86" s="1">
        <f t="shared" si="1"/>
        <v>43.91869053</v>
      </c>
    </row>
    <row r="87" spans="1:2" ht="12.75">
      <c r="A87" s="1">
        <v>1.6211</v>
      </c>
      <c r="B87" s="1">
        <f t="shared" si="1"/>
        <v>43.91869053</v>
      </c>
    </row>
    <row r="88" spans="1:2" ht="12.75">
      <c r="A88" s="1">
        <v>1.6211</v>
      </c>
      <c r="B88" s="1">
        <f t="shared" si="1"/>
        <v>43.91869053</v>
      </c>
    </row>
    <row r="89" spans="1:2" ht="12.75">
      <c r="A89" s="1">
        <v>1.6211</v>
      </c>
      <c r="B89" s="1">
        <f t="shared" si="1"/>
        <v>43.91869053</v>
      </c>
    </row>
    <row r="90" spans="1:2" ht="12.75">
      <c r="A90" s="1">
        <v>1.6211</v>
      </c>
      <c r="B90" s="1">
        <f t="shared" si="1"/>
        <v>43.91869053</v>
      </c>
    </row>
    <row r="91" spans="1:2" ht="12.75">
      <c r="A91" s="1">
        <v>1.6211</v>
      </c>
      <c r="B91" s="1">
        <f t="shared" si="1"/>
        <v>43.91869053</v>
      </c>
    </row>
    <row r="92" spans="1:2" ht="12.75">
      <c r="A92" s="1">
        <v>1.6211</v>
      </c>
      <c r="B92" s="1">
        <f t="shared" si="1"/>
        <v>43.91869053</v>
      </c>
    </row>
    <row r="93" spans="1:2" ht="12.75">
      <c r="A93" s="1">
        <v>1.6211</v>
      </c>
      <c r="B93" s="1">
        <f t="shared" si="1"/>
        <v>43.91869053</v>
      </c>
    </row>
    <row r="94" spans="1:2" ht="12.75">
      <c r="A94" s="1">
        <v>1.6406</v>
      </c>
      <c r="B94" s="1">
        <f t="shared" si="1"/>
        <v>44.45342538</v>
      </c>
    </row>
    <row r="95" spans="1:2" ht="12.75">
      <c r="A95" s="1">
        <v>1.6211</v>
      </c>
      <c r="B95" s="1">
        <f t="shared" si="1"/>
        <v>43.91869053</v>
      </c>
    </row>
    <row r="96" spans="1:2" ht="12.75">
      <c r="A96" s="1">
        <v>1.6211</v>
      </c>
      <c r="B96" s="1">
        <f t="shared" si="1"/>
        <v>43.91869053</v>
      </c>
    </row>
    <row r="97" spans="1:2" ht="12.75">
      <c r="A97" s="1">
        <v>1.6211</v>
      </c>
      <c r="B97" s="1">
        <f t="shared" si="1"/>
        <v>43.91869053</v>
      </c>
    </row>
    <row r="98" spans="1:2" ht="12.75">
      <c r="A98" s="1">
        <v>1.5234</v>
      </c>
      <c r="B98" s="1">
        <f t="shared" si="1"/>
        <v>41.23953182</v>
      </c>
    </row>
    <row r="99" spans="1:2" ht="12.75">
      <c r="A99" s="1">
        <v>1.6211</v>
      </c>
      <c r="B99" s="1">
        <f t="shared" si="1"/>
        <v>43.91869053</v>
      </c>
    </row>
    <row r="100" spans="1:2" ht="12.75">
      <c r="A100" s="1">
        <v>1.6211</v>
      </c>
      <c r="B100" s="1">
        <f t="shared" si="1"/>
        <v>43.91869053</v>
      </c>
    </row>
    <row r="101" spans="1:2" ht="12.75">
      <c r="A101" s="1">
        <v>1.6211</v>
      </c>
      <c r="B101" s="1">
        <f t="shared" si="1"/>
        <v>43.91869053</v>
      </c>
    </row>
    <row r="102" spans="1:2" ht="12.75">
      <c r="A102" s="1">
        <v>1.6211</v>
      </c>
      <c r="B102" s="1">
        <f t="shared" si="1"/>
        <v>43.91869053</v>
      </c>
    </row>
    <row r="103" spans="1:2" ht="12.75">
      <c r="A103" s="1">
        <v>1.6211</v>
      </c>
      <c r="B103" s="1">
        <f t="shared" si="1"/>
        <v>43.91869053</v>
      </c>
    </row>
    <row r="104" spans="1:2" ht="12.75">
      <c r="A104" s="1">
        <v>1.6211</v>
      </c>
      <c r="B104" s="1">
        <f t="shared" si="1"/>
        <v>43.91869053</v>
      </c>
    </row>
    <row r="105" spans="1:2" ht="12.75">
      <c r="A105" s="1">
        <v>1.6211</v>
      </c>
      <c r="B105" s="1">
        <f t="shared" si="1"/>
        <v>43.91869053</v>
      </c>
    </row>
    <row r="106" spans="1:2" ht="12.75">
      <c r="A106" s="1">
        <v>1.6211</v>
      </c>
      <c r="B106" s="1">
        <f t="shared" si="1"/>
        <v>43.91869053</v>
      </c>
    </row>
    <row r="107" spans="1:2" ht="12.75">
      <c r="A107" s="1">
        <v>1.6211</v>
      </c>
      <c r="B107" s="1">
        <f t="shared" si="1"/>
        <v>43.91869053</v>
      </c>
    </row>
    <row r="108" spans="1:2" ht="12.75">
      <c r="A108" s="1">
        <v>1.6211</v>
      </c>
      <c r="B108" s="1">
        <f t="shared" si="1"/>
        <v>43.91869053</v>
      </c>
    </row>
    <row r="109" spans="1:2" ht="12.75">
      <c r="A109" s="1">
        <v>1.6211</v>
      </c>
      <c r="B109" s="1">
        <f t="shared" si="1"/>
        <v>43.91869053</v>
      </c>
    </row>
    <row r="110" spans="1:2" ht="12.75">
      <c r="A110" s="1">
        <v>1.6211</v>
      </c>
      <c r="B110" s="1">
        <f t="shared" si="1"/>
        <v>43.91869053</v>
      </c>
    </row>
    <row r="111" spans="1:2" ht="12.75">
      <c r="A111" s="1">
        <v>1.6211</v>
      </c>
      <c r="B111" s="1">
        <f t="shared" si="1"/>
        <v>43.91869053</v>
      </c>
    </row>
    <row r="112" spans="1:2" ht="12.75">
      <c r="A112" s="1">
        <v>1.6016</v>
      </c>
      <c r="B112" s="1">
        <f t="shared" si="1"/>
        <v>43.38395567999999</v>
      </c>
    </row>
    <row r="113" spans="1:2" ht="12.75">
      <c r="A113" s="1">
        <v>1.6016</v>
      </c>
      <c r="B113" s="1">
        <f t="shared" si="1"/>
        <v>43.38395567999999</v>
      </c>
    </row>
    <row r="114" spans="1:2" ht="12.75">
      <c r="A114" s="1">
        <v>1.6016</v>
      </c>
      <c r="B114" s="1">
        <f t="shared" si="1"/>
        <v>43.38395567999999</v>
      </c>
    </row>
    <row r="115" spans="1:2" ht="12.75">
      <c r="A115" s="1">
        <v>1.6016</v>
      </c>
      <c r="B115" s="1">
        <f t="shared" si="1"/>
        <v>43.38395567999999</v>
      </c>
    </row>
    <row r="116" spans="1:2" ht="12.75">
      <c r="A116" s="1">
        <v>1.6016</v>
      </c>
      <c r="B116" s="1">
        <f t="shared" si="1"/>
        <v>43.38395567999999</v>
      </c>
    </row>
    <row r="117" spans="1:2" ht="12.75">
      <c r="A117" s="1">
        <v>1.6016</v>
      </c>
      <c r="B117" s="1">
        <f t="shared" si="1"/>
        <v>43.38395567999999</v>
      </c>
    </row>
    <row r="118" spans="1:2" ht="12.75">
      <c r="A118" s="1">
        <v>1.6016</v>
      </c>
      <c r="B118" s="1">
        <f t="shared" si="1"/>
        <v>43.38395567999999</v>
      </c>
    </row>
    <row r="119" spans="1:2" ht="12.75">
      <c r="A119" s="1">
        <v>1.6016</v>
      </c>
      <c r="B119" s="1">
        <f t="shared" si="1"/>
        <v>43.38395567999999</v>
      </c>
    </row>
    <row r="120" spans="1:2" ht="12.75">
      <c r="A120" s="1">
        <v>1.6016</v>
      </c>
      <c r="B120" s="1">
        <f t="shared" si="1"/>
        <v>43.38395567999999</v>
      </c>
    </row>
    <row r="121" spans="1:2" ht="12.75">
      <c r="A121" s="1">
        <v>1.6016</v>
      </c>
      <c r="B121" s="1">
        <f t="shared" si="1"/>
        <v>43.38395567999999</v>
      </c>
    </row>
    <row r="122" spans="1:2" ht="12.75">
      <c r="A122" s="1">
        <v>1.6016</v>
      </c>
      <c r="B122" s="1">
        <f t="shared" si="1"/>
        <v>43.38395567999999</v>
      </c>
    </row>
    <row r="123" spans="1:2" ht="12.75">
      <c r="A123" s="1">
        <v>1.582</v>
      </c>
      <c r="B123" s="1">
        <f t="shared" si="1"/>
        <v>42.8464786</v>
      </c>
    </row>
    <row r="124" spans="1:2" ht="12.75">
      <c r="A124" s="1">
        <v>1.582</v>
      </c>
      <c r="B124" s="1">
        <f t="shared" si="1"/>
        <v>42.8464786</v>
      </c>
    </row>
    <row r="125" spans="1:2" ht="12.75">
      <c r="A125" s="1">
        <v>1.582</v>
      </c>
      <c r="B125" s="1">
        <f t="shared" si="1"/>
        <v>42.8464786</v>
      </c>
    </row>
    <row r="126" spans="1:2" ht="12.75">
      <c r="A126" s="1">
        <v>1.582</v>
      </c>
      <c r="B126" s="1">
        <f t="shared" si="1"/>
        <v>42.8464786</v>
      </c>
    </row>
    <row r="127" spans="1:2" ht="12.75">
      <c r="A127" s="1">
        <v>1.582</v>
      </c>
      <c r="B127" s="1">
        <f t="shared" si="1"/>
        <v>42.8464786</v>
      </c>
    </row>
    <row r="128" spans="1:2" ht="12.75">
      <c r="A128" s="1">
        <v>1.582</v>
      </c>
      <c r="B128" s="1">
        <f t="shared" si="1"/>
        <v>42.8464786</v>
      </c>
    </row>
    <row r="129" spans="1:2" ht="12.75">
      <c r="A129" s="1">
        <v>1.582</v>
      </c>
      <c r="B129" s="1">
        <f t="shared" si="1"/>
        <v>42.8464786</v>
      </c>
    </row>
    <row r="130" spans="1:2" ht="12.75">
      <c r="A130" s="1">
        <v>1.582</v>
      </c>
      <c r="B130" s="1">
        <f t="shared" si="1"/>
        <v>42.8464786</v>
      </c>
    </row>
    <row r="131" spans="1:2" ht="12.75">
      <c r="A131" s="1">
        <v>1.582</v>
      </c>
      <c r="B131" s="1">
        <f t="shared" si="1"/>
        <v>42.8464786</v>
      </c>
    </row>
    <row r="132" spans="1:2" ht="12.75">
      <c r="A132" s="1">
        <v>1.582</v>
      </c>
      <c r="B132" s="1">
        <f t="shared" si="1"/>
        <v>42.8464786</v>
      </c>
    </row>
    <row r="133" spans="1:2" ht="12.75">
      <c r="A133" s="1">
        <v>1.582</v>
      </c>
      <c r="B133" s="1">
        <f t="shared" si="1"/>
        <v>42.8464786</v>
      </c>
    </row>
    <row r="134" spans="1:2" ht="12.75">
      <c r="A134" s="1">
        <v>1.582</v>
      </c>
      <c r="B134" s="1">
        <f t="shared" si="1"/>
        <v>42.8464786</v>
      </c>
    </row>
    <row r="135" spans="1:2" ht="12.75">
      <c r="A135" s="1">
        <v>1.582</v>
      </c>
      <c r="B135" s="1">
        <f t="shared" si="1"/>
        <v>42.8464786</v>
      </c>
    </row>
    <row r="136" spans="1:2" ht="12.75">
      <c r="A136" s="1">
        <v>1.582</v>
      </c>
      <c r="B136" s="1">
        <f t="shared" si="1"/>
        <v>42.8464786</v>
      </c>
    </row>
    <row r="137" spans="1:2" ht="12.75">
      <c r="A137" s="1">
        <v>1.5625</v>
      </c>
      <c r="B137" s="1">
        <f t="shared" si="1"/>
        <v>42.31174375</v>
      </c>
    </row>
    <row r="138" spans="1:2" ht="12.75">
      <c r="A138" s="1">
        <v>1.582</v>
      </c>
      <c r="B138" s="1">
        <f t="shared" si="1"/>
        <v>42.8464786</v>
      </c>
    </row>
    <row r="139" spans="1:2" ht="12.75">
      <c r="A139" s="1">
        <v>1.582</v>
      </c>
      <c r="B139" s="1">
        <f aca="true" t="shared" si="2" ref="B139:B202">(A139*27.4223)-0.5356</f>
        <v>42.8464786</v>
      </c>
    </row>
    <row r="140" spans="1:2" ht="12.75">
      <c r="A140" s="1">
        <v>1.582</v>
      </c>
      <c r="B140" s="1">
        <f t="shared" si="2"/>
        <v>42.8464786</v>
      </c>
    </row>
    <row r="141" spans="1:2" ht="12.75">
      <c r="A141" s="1">
        <v>1.582</v>
      </c>
      <c r="B141" s="1">
        <f t="shared" si="2"/>
        <v>42.8464786</v>
      </c>
    </row>
    <row r="142" spans="1:2" ht="12.75">
      <c r="A142" s="1">
        <v>1.582</v>
      </c>
      <c r="B142" s="1">
        <f t="shared" si="2"/>
        <v>42.8464786</v>
      </c>
    </row>
    <row r="143" spans="1:2" ht="12.75">
      <c r="A143" s="1">
        <v>1.582</v>
      </c>
      <c r="B143" s="1">
        <f t="shared" si="2"/>
        <v>42.8464786</v>
      </c>
    </row>
    <row r="144" spans="1:2" ht="12.75">
      <c r="A144" s="1">
        <v>1.5625</v>
      </c>
      <c r="B144" s="1">
        <f t="shared" si="2"/>
        <v>42.31174375</v>
      </c>
    </row>
    <row r="145" spans="1:2" ht="12.75">
      <c r="A145" s="1">
        <v>1.5625</v>
      </c>
      <c r="B145" s="1">
        <f t="shared" si="2"/>
        <v>42.31174375</v>
      </c>
    </row>
    <row r="146" spans="1:2" ht="12.75">
      <c r="A146" s="1">
        <v>1.582</v>
      </c>
      <c r="B146" s="1">
        <f t="shared" si="2"/>
        <v>42.8464786</v>
      </c>
    </row>
    <row r="147" spans="1:2" ht="12.75">
      <c r="A147" s="1">
        <v>1.582</v>
      </c>
      <c r="B147" s="1">
        <f t="shared" si="2"/>
        <v>42.8464786</v>
      </c>
    </row>
    <row r="148" spans="1:2" ht="12.75">
      <c r="A148" s="1">
        <v>1.5625</v>
      </c>
      <c r="B148" s="1">
        <f t="shared" si="2"/>
        <v>42.31174375</v>
      </c>
    </row>
    <row r="149" spans="1:2" ht="12.75">
      <c r="A149" s="1">
        <v>1.5625</v>
      </c>
      <c r="B149" s="1">
        <f t="shared" si="2"/>
        <v>42.31174375</v>
      </c>
    </row>
    <row r="150" spans="1:2" ht="12.75">
      <c r="A150" s="1">
        <v>1.582</v>
      </c>
      <c r="B150" s="1">
        <f t="shared" si="2"/>
        <v>42.8464786</v>
      </c>
    </row>
    <row r="151" spans="1:2" ht="12.75">
      <c r="A151" s="1">
        <v>1.582</v>
      </c>
      <c r="B151" s="1">
        <f t="shared" si="2"/>
        <v>42.8464786</v>
      </c>
    </row>
    <row r="152" spans="1:2" ht="12.75">
      <c r="A152" s="1">
        <v>1.5625</v>
      </c>
      <c r="B152" s="1">
        <f t="shared" si="2"/>
        <v>42.31174375</v>
      </c>
    </row>
    <row r="153" spans="1:2" ht="12.75">
      <c r="A153" s="1">
        <v>1.5625</v>
      </c>
      <c r="B153" s="1">
        <f t="shared" si="2"/>
        <v>42.31174375</v>
      </c>
    </row>
    <row r="154" spans="1:2" ht="12.75">
      <c r="A154" s="1">
        <v>1.582</v>
      </c>
      <c r="B154" s="1">
        <f t="shared" si="2"/>
        <v>42.8464786</v>
      </c>
    </row>
    <row r="155" spans="1:2" ht="12.75">
      <c r="A155" s="1">
        <v>1.5625</v>
      </c>
      <c r="B155" s="1">
        <f t="shared" si="2"/>
        <v>42.31174375</v>
      </c>
    </row>
    <row r="156" spans="1:2" ht="12.75">
      <c r="A156" s="1">
        <v>1.5625</v>
      </c>
      <c r="B156" s="1">
        <f t="shared" si="2"/>
        <v>42.31174375</v>
      </c>
    </row>
    <row r="157" spans="1:2" ht="12.75">
      <c r="A157" s="1">
        <v>1.5625</v>
      </c>
      <c r="B157" s="1">
        <f t="shared" si="2"/>
        <v>42.31174375</v>
      </c>
    </row>
    <row r="158" spans="1:2" ht="12.75">
      <c r="A158" s="1">
        <v>1.5625</v>
      </c>
      <c r="B158" s="1">
        <f t="shared" si="2"/>
        <v>42.31174375</v>
      </c>
    </row>
    <row r="159" spans="1:2" ht="12.75">
      <c r="A159" s="1">
        <v>1.5625</v>
      </c>
      <c r="B159" s="1">
        <f t="shared" si="2"/>
        <v>42.31174375</v>
      </c>
    </row>
    <row r="160" spans="1:2" ht="12.75">
      <c r="A160" s="1">
        <v>1.543</v>
      </c>
      <c r="B160" s="1">
        <f t="shared" si="2"/>
        <v>41.7770089</v>
      </c>
    </row>
    <row r="161" spans="1:2" ht="12.75">
      <c r="A161" s="1">
        <v>1.543</v>
      </c>
      <c r="B161" s="1">
        <f t="shared" si="2"/>
        <v>41.7770089</v>
      </c>
    </row>
    <row r="162" spans="1:2" ht="12.75">
      <c r="A162" s="1">
        <v>1.543</v>
      </c>
      <c r="B162" s="1">
        <f t="shared" si="2"/>
        <v>41.7770089</v>
      </c>
    </row>
    <row r="163" spans="1:2" ht="12.75">
      <c r="A163" s="1">
        <v>1.543</v>
      </c>
      <c r="B163" s="1">
        <f t="shared" si="2"/>
        <v>41.7770089</v>
      </c>
    </row>
    <row r="164" spans="1:2" ht="12.75">
      <c r="A164" s="1">
        <v>1.5234</v>
      </c>
      <c r="B164" s="1">
        <f t="shared" si="2"/>
        <v>41.23953182</v>
      </c>
    </row>
    <row r="165" spans="1:2" ht="12.75">
      <c r="A165" s="1">
        <v>1.5234</v>
      </c>
      <c r="B165" s="1">
        <f t="shared" si="2"/>
        <v>41.23953182</v>
      </c>
    </row>
    <row r="166" spans="1:2" ht="12.75">
      <c r="A166" s="1">
        <v>1.543</v>
      </c>
      <c r="B166" s="1">
        <f t="shared" si="2"/>
        <v>41.7770089</v>
      </c>
    </row>
    <row r="167" spans="1:2" ht="12.75">
      <c r="A167" s="1">
        <v>1.5234</v>
      </c>
      <c r="B167" s="1">
        <f t="shared" si="2"/>
        <v>41.23953182</v>
      </c>
    </row>
    <row r="168" spans="1:2" ht="12.75">
      <c r="A168" s="1">
        <v>1.5234</v>
      </c>
      <c r="B168" s="1">
        <f t="shared" si="2"/>
        <v>41.23953182</v>
      </c>
    </row>
    <row r="169" spans="1:2" ht="12.75">
      <c r="A169" s="1">
        <v>1.5234</v>
      </c>
      <c r="B169" s="1">
        <f t="shared" si="2"/>
        <v>41.23953182</v>
      </c>
    </row>
    <row r="170" spans="1:2" ht="12.75">
      <c r="A170" s="1">
        <v>1.5234</v>
      </c>
      <c r="B170" s="1">
        <f t="shared" si="2"/>
        <v>41.23953182</v>
      </c>
    </row>
    <row r="171" spans="1:2" ht="12.75">
      <c r="A171" s="1">
        <v>1.5234</v>
      </c>
      <c r="B171" s="1">
        <f t="shared" si="2"/>
        <v>41.23953182</v>
      </c>
    </row>
    <row r="172" spans="1:2" ht="12.75">
      <c r="A172" s="1">
        <v>1.5234</v>
      </c>
      <c r="B172" s="1">
        <f t="shared" si="2"/>
        <v>41.23953182</v>
      </c>
    </row>
    <row r="173" spans="1:2" ht="12.75">
      <c r="A173" s="1">
        <v>1.5039</v>
      </c>
      <c r="B173" s="1">
        <f t="shared" si="2"/>
        <v>40.70479697</v>
      </c>
    </row>
    <row r="174" spans="1:2" ht="12.75">
      <c r="A174" s="1">
        <v>1.5039</v>
      </c>
      <c r="B174" s="1">
        <f t="shared" si="2"/>
        <v>40.70479697</v>
      </c>
    </row>
    <row r="175" spans="1:2" ht="12.75">
      <c r="A175" s="1">
        <v>1.5039</v>
      </c>
      <c r="B175" s="1">
        <f t="shared" si="2"/>
        <v>40.70479697</v>
      </c>
    </row>
    <row r="176" spans="1:2" ht="12.75">
      <c r="A176" s="1">
        <v>1.4844</v>
      </c>
      <c r="B176" s="1">
        <f t="shared" si="2"/>
        <v>40.17006212</v>
      </c>
    </row>
    <row r="177" spans="1:2" ht="12.75">
      <c r="A177" s="1">
        <v>1.4648</v>
      </c>
      <c r="B177" s="1">
        <f t="shared" si="2"/>
        <v>39.63258504</v>
      </c>
    </row>
    <row r="178" spans="1:2" ht="12.75">
      <c r="A178" s="1">
        <v>1.4648</v>
      </c>
      <c r="B178" s="1">
        <f t="shared" si="2"/>
        <v>39.63258504</v>
      </c>
    </row>
    <row r="179" spans="1:2" ht="12.75">
      <c r="A179" s="1">
        <v>1.4648</v>
      </c>
      <c r="B179" s="1">
        <f t="shared" si="2"/>
        <v>39.63258504</v>
      </c>
    </row>
    <row r="180" spans="1:2" ht="12.75">
      <c r="A180" s="1">
        <v>1.4453</v>
      </c>
      <c r="B180" s="1">
        <f t="shared" si="2"/>
        <v>39.097850189999996</v>
      </c>
    </row>
    <row r="181" spans="1:2" ht="12.75">
      <c r="A181" s="1">
        <v>1.4453</v>
      </c>
      <c r="B181" s="1">
        <f t="shared" si="2"/>
        <v>39.097850189999996</v>
      </c>
    </row>
    <row r="182" spans="1:2" ht="12.75">
      <c r="A182" s="1">
        <v>1.4453</v>
      </c>
      <c r="B182" s="1">
        <f t="shared" si="2"/>
        <v>39.097850189999996</v>
      </c>
    </row>
    <row r="183" spans="1:2" ht="12.75">
      <c r="A183" s="1">
        <v>1.4453</v>
      </c>
      <c r="B183" s="1">
        <f t="shared" si="2"/>
        <v>39.097850189999996</v>
      </c>
    </row>
    <row r="184" spans="1:2" ht="12.75">
      <c r="A184" s="1">
        <v>1.4258</v>
      </c>
      <c r="B184" s="1">
        <f t="shared" si="2"/>
        <v>38.563115339999996</v>
      </c>
    </row>
    <row r="185" spans="1:2" ht="12.75">
      <c r="A185" s="1">
        <v>1.4258</v>
      </c>
      <c r="B185" s="1">
        <f t="shared" si="2"/>
        <v>38.563115339999996</v>
      </c>
    </row>
    <row r="186" spans="1:2" ht="12.75">
      <c r="A186" s="1">
        <v>1.4258</v>
      </c>
      <c r="B186" s="1">
        <f t="shared" si="2"/>
        <v>38.563115339999996</v>
      </c>
    </row>
    <row r="187" spans="1:2" ht="12.75">
      <c r="A187" s="1">
        <v>1.4258</v>
      </c>
      <c r="B187" s="1">
        <f t="shared" si="2"/>
        <v>38.563115339999996</v>
      </c>
    </row>
    <row r="188" spans="1:2" ht="12.75">
      <c r="A188" s="1">
        <v>1.4258</v>
      </c>
      <c r="B188" s="1">
        <f t="shared" si="2"/>
        <v>38.563115339999996</v>
      </c>
    </row>
    <row r="189" spans="1:2" ht="12.75">
      <c r="A189" s="1">
        <v>1.4258</v>
      </c>
      <c r="B189" s="1">
        <f t="shared" si="2"/>
        <v>38.563115339999996</v>
      </c>
    </row>
    <row r="190" spans="1:2" ht="12.75">
      <c r="A190" s="1">
        <v>1.4258</v>
      </c>
      <c r="B190" s="1">
        <f t="shared" si="2"/>
        <v>38.563115339999996</v>
      </c>
    </row>
    <row r="191" spans="1:2" ht="12.75">
      <c r="A191" s="1">
        <v>1.4063</v>
      </c>
      <c r="B191" s="1">
        <f t="shared" si="2"/>
        <v>38.02838049</v>
      </c>
    </row>
    <row r="192" spans="1:2" ht="12.75">
      <c r="A192" s="1">
        <v>1.3867</v>
      </c>
      <c r="B192" s="1">
        <f t="shared" si="2"/>
        <v>37.49090341</v>
      </c>
    </row>
    <row r="193" spans="1:2" ht="12.75">
      <c r="A193" s="1">
        <v>1.3672</v>
      </c>
      <c r="B193" s="1">
        <f t="shared" si="2"/>
        <v>36.956168559999995</v>
      </c>
    </row>
    <row r="194" spans="1:2" ht="12.75">
      <c r="A194" s="1">
        <v>1.3672</v>
      </c>
      <c r="B194" s="1">
        <f t="shared" si="2"/>
        <v>36.956168559999995</v>
      </c>
    </row>
    <row r="195" spans="1:2" ht="12.75">
      <c r="A195" s="1">
        <v>1.3281</v>
      </c>
      <c r="B195" s="1">
        <f t="shared" si="2"/>
        <v>35.88395663</v>
      </c>
    </row>
    <row r="196" spans="1:2" ht="12.75">
      <c r="A196" s="1">
        <v>1.3086</v>
      </c>
      <c r="B196" s="1">
        <f t="shared" si="2"/>
        <v>35.34922178</v>
      </c>
    </row>
    <row r="197" spans="1:2" ht="12.75">
      <c r="A197" s="1">
        <v>1.2695</v>
      </c>
      <c r="B197" s="1">
        <f t="shared" si="2"/>
        <v>34.27700985</v>
      </c>
    </row>
    <row r="198" spans="1:2" ht="12.75">
      <c r="A198" s="1">
        <v>1.25</v>
      </c>
      <c r="B198" s="1">
        <f t="shared" si="2"/>
        <v>33.742275</v>
      </c>
    </row>
    <row r="199" spans="1:2" ht="12.75">
      <c r="A199" s="1">
        <v>1.2305</v>
      </c>
      <c r="B199" s="1">
        <f t="shared" si="2"/>
        <v>33.20754014999999</v>
      </c>
    </row>
    <row r="200" spans="1:2" ht="12.75">
      <c r="A200" s="1">
        <v>1.1914</v>
      </c>
      <c r="B200" s="1">
        <f t="shared" si="2"/>
        <v>32.13532822</v>
      </c>
    </row>
    <row r="201" spans="1:2" ht="12.75">
      <c r="A201" s="1">
        <v>1.1523</v>
      </c>
      <c r="B201" s="1">
        <f t="shared" si="2"/>
        <v>31.063116290000004</v>
      </c>
    </row>
    <row r="202" spans="1:2" ht="12.75">
      <c r="A202" s="1">
        <v>1.0352</v>
      </c>
      <c r="B202" s="1">
        <f t="shared" si="2"/>
        <v>27.85196496</v>
      </c>
    </row>
    <row r="203" spans="1:2" ht="12.75">
      <c r="A203" s="1">
        <v>0.95703</v>
      </c>
      <c r="B203" s="1">
        <f aca="true" t="shared" si="3" ref="B203:B238">(A203*27.4223)-0.5356</f>
        <v>25.708363769</v>
      </c>
    </row>
    <row r="204" spans="1:2" ht="12.75">
      <c r="A204" s="1">
        <v>0.91797</v>
      </c>
      <c r="B204" s="1">
        <f t="shared" si="3"/>
        <v>24.637248731</v>
      </c>
    </row>
    <row r="205" spans="1:2" ht="12.75">
      <c r="A205" s="1">
        <v>0.87891</v>
      </c>
      <c r="B205" s="1">
        <f t="shared" si="3"/>
        <v>23.566133693</v>
      </c>
    </row>
    <row r="206" spans="1:2" ht="12.75">
      <c r="A206" s="1">
        <v>0.82031</v>
      </c>
      <c r="B206" s="1">
        <f t="shared" si="3"/>
        <v>21.959186913</v>
      </c>
    </row>
    <row r="207" spans="1:2" ht="12.75">
      <c r="A207" s="1">
        <v>0.74219</v>
      </c>
      <c r="B207" s="1">
        <f t="shared" si="3"/>
        <v>19.816956837000003</v>
      </c>
    </row>
    <row r="208" spans="1:2" ht="12.75">
      <c r="A208" s="1">
        <v>0.66406</v>
      </c>
      <c r="B208" s="1">
        <f t="shared" si="3"/>
        <v>17.674452538</v>
      </c>
    </row>
    <row r="209" spans="1:2" ht="12.75">
      <c r="A209" s="1">
        <v>0.54688</v>
      </c>
      <c r="B209" s="1">
        <f t="shared" si="3"/>
        <v>14.461107424</v>
      </c>
    </row>
    <row r="210" spans="1:2" ht="12.75">
      <c r="A210" s="1">
        <v>0.39063</v>
      </c>
      <c r="B210" s="1">
        <f t="shared" si="3"/>
        <v>10.176373048999999</v>
      </c>
    </row>
    <row r="211" spans="1:2" ht="12.75">
      <c r="A211" s="1">
        <v>0.21484</v>
      </c>
      <c r="B211" s="1">
        <f t="shared" si="3"/>
        <v>5.355806932</v>
      </c>
    </row>
    <row r="212" spans="1:3" ht="12.75">
      <c r="A212" s="1">
        <v>0.15625</v>
      </c>
      <c r="B212" s="1">
        <f t="shared" si="3"/>
        <v>3.749134375</v>
      </c>
      <c r="C212" t="s">
        <v>171</v>
      </c>
    </row>
    <row r="213" spans="1:2" ht="12.75">
      <c r="A213" s="1">
        <v>0.11719</v>
      </c>
      <c r="B213" s="1">
        <f t="shared" si="3"/>
        <v>2.678019337</v>
      </c>
    </row>
    <row r="214" spans="1:2" ht="12.75">
      <c r="A214" s="1">
        <v>0.097656</v>
      </c>
      <c r="B214" s="1">
        <f t="shared" si="3"/>
        <v>2.1423521288000003</v>
      </c>
    </row>
    <row r="215" spans="1:2" ht="12.75">
      <c r="A215" s="1">
        <v>0.058594</v>
      </c>
      <c r="B215" s="1">
        <f t="shared" si="3"/>
        <v>1.0711822462000002</v>
      </c>
    </row>
    <row r="216" spans="1:2" ht="12.75">
      <c r="A216" s="1">
        <v>0.039063</v>
      </c>
      <c r="B216" s="1">
        <f t="shared" si="3"/>
        <v>0.5355973049000001</v>
      </c>
    </row>
    <row r="217" spans="1:2" ht="12.75">
      <c r="A217" s="1">
        <v>0.019531</v>
      </c>
      <c r="B217" s="1">
        <f t="shared" si="3"/>
        <v>-1.5058699999959124E-05</v>
      </c>
    </row>
    <row r="218" spans="1:2" ht="12.75">
      <c r="A218" s="1">
        <v>0.019531</v>
      </c>
      <c r="B218" s="1">
        <f t="shared" si="3"/>
        <v>-1.5058699999959124E-05</v>
      </c>
    </row>
    <row r="219" spans="1:2" ht="12.75">
      <c r="A219" s="1">
        <v>0.019531</v>
      </c>
      <c r="B219" s="1">
        <f t="shared" si="3"/>
        <v>-1.5058699999959124E-05</v>
      </c>
    </row>
    <row r="220" spans="1:2" ht="12.75">
      <c r="A220" s="1">
        <v>0.019531</v>
      </c>
      <c r="B220" s="1">
        <f t="shared" si="3"/>
        <v>-1.5058699999959124E-05</v>
      </c>
    </row>
    <row r="221" spans="1:2" ht="12.75">
      <c r="A221" s="1">
        <v>0.019531</v>
      </c>
      <c r="B221" s="1">
        <f t="shared" si="3"/>
        <v>-1.5058699999959124E-05</v>
      </c>
    </row>
    <row r="222" spans="1:2" ht="12.75">
      <c r="A222" s="1">
        <v>0.019531</v>
      </c>
      <c r="B222" s="1">
        <f t="shared" si="3"/>
        <v>-1.5058699999959124E-05</v>
      </c>
    </row>
    <row r="223" spans="1:2" ht="12.75">
      <c r="A223" s="1">
        <v>0.019531</v>
      </c>
      <c r="B223" s="1">
        <f t="shared" si="3"/>
        <v>-1.5058699999959124E-05</v>
      </c>
    </row>
    <row r="224" spans="1:2" ht="12.75">
      <c r="A224" s="1">
        <v>0.019531</v>
      </c>
      <c r="B224" s="1">
        <f t="shared" si="3"/>
        <v>-1.5058699999959124E-05</v>
      </c>
    </row>
    <row r="225" spans="1:2" ht="12.75">
      <c r="A225" s="1">
        <v>0.019531</v>
      </c>
      <c r="B225" s="1">
        <f t="shared" si="3"/>
        <v>-1.5058699999959124E-05</v>
      </c>
    </row>
    <row r="226" spans="1:2" ht="12.75">
      <c r="A226" s="1">
        <v>0.019531</v>
      </c>
      <c r="B226" s="1">
        <f t="shared" si="3"/>
        <v>-1.5058699999959124E-05</v>
      </c>
    </row>
    <row r="227" spans="1:2" ht="12.75">
      <c r="A227" s="1">
        <v>0.019531</v>
      </c>
      <c r="B227" s="1">
        <f t="shared" si="3"/>
        <v>-1.5058699999959124E-05</v>
      </c>
    </row>
    <row r="228" spans="1:2" ht="12.75">
      <c r="A228" s="1">
        <v>0.019531</v>
      </c>
      <c r="B228" s="1">
        <f t="shared" si="3"/>
        <v>-1.5058699999959124E-05</v>
      </c>
    </row>
    <row r="229" spans="1:2" ht="12.75">
      <c r="A229" s="1">
        <v>0</v>
      </c>
      <c r="B229" s="1">
        <f t="shared" si="3"/>
        <v>-0.5356</v>
      </c>
    </row>
    <row r="230" spans="1:2" ht="12.75">
      <c r="A230" s="1">
        <v>0.019531</v>
      </c>
      <c r="B230" s="1">
        <f t="shared" si="3"/>
        <v>-1.5058699999959124E-05</v>
      </c>
    </row>
    <row r="231" spans="1:2" ht="12.75">
      <c r="A231" s="1">
        <v>0.019531</v>
      </c>
      <c r="B231" s="1">
        <f t="shared" si="3"/>
        <v>-1.5058699999959124E-05</v>
      </c>
    </row>
    <row r="232" spans="1:2" ht="12.75">
      <c r="A232" s="1">
        <v>0</v>
      </c>
      <c r="B232" s="1">
        <f t="shared" si="3"/>
        <v>-0.5356</v>
      </c>
    </row>
    <row r="233" spans="1:2" ht="12.75">
      <c r="A233" s="1">
        <v>0</v>
      </c>
      <c r="B233" s="1">
        <f t="shared" si="3"/>
        <v>-0.5356</v>
      </c>
    </row>
    <row r="234" spans="1:2" ht="12.75">
      <c r="A234" s="1">
        <v>0.019531</v>
      </c>
      <c r="B234" s="1">
        <f t="shared" si="3"/>
        <v>-1.5058699999959124E-05</v>
      </c>
    </row>
    <row r="235" spans="1:2" ht="12.75">
      <c r="A235" s="1">
        <v>0.019531</v>
      </c>
      <c r="B235" s="1">
        <f t="shared" si="3"/>
        <v>-1.5058699999959124E-05</v>
      </c>
    </row>
    <row r="236" spans="1:2" ht="12.75">
      <c r="A236" s="1">
        <v>0</v>
      </c>
      <c r="B236" s="1">
        <f t="shared" si="3"/>
        <v>-0.5356</v>
      </c>
    </row>
    <row r="237" spans="1:2" ht="12.75">
      <c r="A237" s="1">
        <v>0</v>
      </c>
      <c r="B237" s="1">
        <f t="shared" si="3"/>
        <v>-0.5356</v>
      </c>
    </row>
    <row r="238" spans="1:2" ht="12.75">
      <c r="A238" s="1">
        <v>0.019531</v>
      </c>
      <c r="B238" s="1">
        <f t="shared" si="3"/>
        <v>-1.5058699999959124E-05</v>
      </c>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6">
      <selection activeCell="A2" sqref="A2"/>
    </sheetView>
  </sheetViews>
  <sheetFormatPr defaultColWidth="9.140625" defaultRowHeight="12.75"/>
  <sheetData>
    <row r="1" ht="12.75">
      <c r="A1" t="s">
        <v>170</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17" sqref="B17"/>
    </sheetView>
  </sheetViews>
  <sheetFormatPr defaultColWidth="9.140625" defaultRowHeight="12.75"/>
  <cols>
    <col min="1" max="1" width="26.57421875" style="0" customWidth="1"/>
    <col min="2" max="2" width="11.8515625" style="0" customWidth="1"/>
  </cols>
  <sheetData>
    <row r="1" spans="1:4" ht="12.75">
      <c r="A1" s="10" t="s">
        <v>135</v>
      </c>
      <c r="B1" s="11" t="s">
        <v>154</v>
      </c>
      <c r="D1" t="s">
        <v>130</v>
      </c>
    </row>
    <row r="2" ht="12.75">
      <c r="D2" t="s">
        <v>147</v>
      </c>
    </row>
    <row r="3" spans="1:4" ht="12.75">
      <c r="A3" s="7" t="s">
        <v>136</v>
      </c>
      <c r="B3" s="12">
        <v>1</v>
      </c>
      <c r="D3" t="s">
        <v>150</v>
      </c>
    </row>
    <row r="4" spans="1:4" ht="12.75">
      <c r="A4" s="7" t="s">
        <v>137</v>
      </c>
      <c r="B4" s="13">
        <v>1.19</v>
      </c>
      <c r="D4" t="s">
        <v>131</v>
      </c>
    </row>
    <row r="5" spans="1:8" ht="12.75">
      <c r="A5" s="7" t="s">
        <v>138</v>
      </c>
      <c r="B5" s="13">
        <v>0.37</v>
      </c>
      <c r="H5" t="s">
        <v>141</v>
      </c>
    </row>
    <row r="6" spans="1:4" ht="12.75">
      <c r="A6" s="7" t="s">
        <v>139</v>
      </c>
      <c r="B6" s="13">
        <v>3.611</v>
      </c>
      <c r="D6" s="14" t="s">
        <v>148</v>
      </c>
    </row>
    <row r="7" spans="1:14" ht="12.75">
      <c r="A7" s="7" t="s">
        <v>140</v>
      </c>
      <c r="B7" s="12">
        <v>0.303</v>
      </c>
      <c r="L7" t="s">
        <v>127</v>
      </c>
      <c r="M7" t="s">
        <v>128</v>
      </c>
      <c r="N7" t="s">
        <v>133</v>
      </c>
    </row>
    <row r="8" spans="5:17" ht="12.75">
      <c r="E8" t="s">
        <v>125</v>
      </c>
      <c r="F8" t="s">
        <v>119</v>
      </c>
      <c r="G8" t="s">
        <v>104</v>
      </c>
      <c r="H8" t="s">
        <v>112</v>
      </c>
      <c r="I8" t="s">
        <v>110</v>
      </c>
      <c r="J8" t="s">
        <v>113</v>
      </c>
      <c r="K8" t="s">
        <v>115</v>
      </c>
      <c r="L8" t="s">
        <v>113</v>
      </c>
      <c r="M8" t="s">
        <v>116</v>
      </c>
      <c r="N8" t="s">
        <v>117</v>
      </c>
      <c r="O8" t="s">
        <v>120</v>
      </c>
      <c r="P8" t="s">
        <v>123</v>
      </c>
      <c r="Q8" t="s">
        <v>21</v>
      </c>
    </row>
    <row r="9" spans="4:16" ht="12.75">
      <c r="D9" s="15" t="s">
        <v>109</v>
      </c>
      <c r="E9" t="s">
        <v>129</v>
      </c>
      <c r="G9" t="s">
        <v>6</v>
      </c>
      <c r="I9" t="s">
        <v>118</v>
      </c>
      <c r="J9" t="s">
        <v>126</v>
      </c>
      <c r="K9" t="s">
        <v>111</v>
      </c>
      <c r="L9" t="s">
        <v>114</v>
      </c>
      <c r="M9" t="s">
        <v>132</v>
      </c>
      <c r="N9" t="s">
        <v>111</v>
      </c>
      <c r="O9" t="s">
        <v>121</v>
      </c>
      <c r="P9" t="s">
        <v>124</v>
      </c>
    </row>
    <row r="10" spans="1:17" ht="12.75">
      <c r="A10" t="s">
        <v>142</v>
      </c>
      <c r="B10" s="16">
        <f>(($B$4-$B$5))/29</f>
        <v>0.028275862068965516</v>
      </c>
      <c r="C10" s="17" t="s">
        <v>144</v>
      </c>
      <c r="D10" s="15">
        <v>0</v>
      </c>
      <c r="E10" s="1">
        <f>D10*$B$10</f>
        <v>0</v>
      </c>
      <c r="F10">
        <f>B4</f>
        <v>1.19</v>
      </c>
      <c r="G10" s="1">
        <f>$B6-E10</f>
        <v>3.611</v>
      </c>
      <c r="H10" s="3">
        <f>$B5+E10</f>
        <v>0.37</v>
      </c>
      <c r="I10" s="2">
        <f>(F10*(PI())*G10)</f>
        <v>13.499706375814164</v>
      </c>
      <c r="J10" s="2">
        <f>((F10/2)^2)*PI()</f>
        <v>1.1122023391871265</v>
      </c>
      <c r="K10" s="2">
        <f>((H10/2)^2)*PI()</f>
        <v>0.10752100856911066</v>
      </c>
      <c r="L10" s="2">
        <f>J10-K10</f>
        <v>1.0046813306180158</v>
      </c>
      <c r="M10" s="2">
        <f>(H10*PI())*G10</f>
        <v>4.197387696681716</v>
      </c>
      <c r="N10" s="2">
        <f>(L10*2)+M10</f>
        <v>6.206750357917747</v>
      </c>
      <c r="O10" s="2">
        <f>N10*B3</f>
        <v>6.206750357917747</v>
      </c>
      <c r="P10" s="18">
        <f>(F10-H10)/2</f>
        <v>0.41</v>
      </c>
      <c r="Q10" s="2">
        <f>O10/B12</f>
        <v>86.07739981918986</v>
      </c>
    </row>
    <row r="11" spans="1:17" ht="12.75">
      <c r="A11" t="s">
        <v>105</v>
      </c>
      <c r="B11" s="1">
        <f>$O$10</f>
        <v>6.206750357917747</v>
      </c>
      <c r="C11" s="17" t="s">
        <v>145</v>
      </c>
      <c r="D11" s="15">
        <v>1</v>
      </c>
      <c r="E11" s="1">
        <f>D11*B10</f>
        <v>0.028275862068965516</v>
      </c>
      <c r="F11">
        <f>B4</f>
        <v>1.19</v>
      </c>
      <c r="G11" s="1">
        <f>$B6-E11</f>
        <v>3.582724137931035</v>
      </c>
      <c r="H11" s="3">
        <f>$B5+E11</f>
        <v>0.39827586206896554</v>
      </c>
      <c r="I11" s="2">
        <f aca="true" t="shared" si="0" ref="I11:I38">(F11*(PI())*G11)</f>
        <v>13.393997199559927</v>
      </c>
      <c r="J11" s="2">
        <f aca="true" t="shared" si="1" ref="J11:J38">((F11/2)^2)*PI()</f>
        <v>1.1122023391871265</v>
      </c>
      <c r="K11" s="2">
        <f aca="true" t="shared" si="2" ref="K11:K38">((H11/2)^2)*PI()</f>
        <v>0.12458273304712021</v>
      </c>
      <c r="L11" s="2">
        <f aca="true" t="shared" si="3" ref="L11:L38">J11-K11</f>
        <v>0.9876196061400063</v>
      </c>
      <c r="M11" s="2">
        <f aca="true" t="shared" si="4" ref="M11:M38">(H11*PI())*G11</f>
        <v>4.482777967398353</v>
      </c>
      <c r="N11" s="2">
        <f aca="true" t="shared" si="5" ref="N11:N38">(L11*2)+M11</f>
        <v>6.458017179678365</v>
      </c>
      <c r="O11" s="2">
        <f>N11*B3</f>
        <v>6.458017179678365</v>
      </c>
      <c r="P11" s="18">
        <f aca="true" t="shared" si="6" ref="P11:P39">(F11-H11)/2</f>
        <v>0.39586206896551723</v>
      </c>
      <c r="Q11" s="2">
        <f>O11/B12</f>
        <v>89.56205659298699</v>
      </c>
    </row>
    <row r="12" spans="1:17" ht="12.75">
      <c r="A12" t="s">
        <v>108</v>
      </c>
      <c r="B12" s="1">
        <f>((B7/2)^2)*PI()</f>
        <v>0.07210661998335632</v>
      </c>
      <c r="C12" s="14" t="s">
        <v>146</v>
      </c>
      <c r="D12" s="15">
        <v>2</v>
      </c>
      <c r="E12" s="1">
        <f>D12*B10</f>
        <v>0.05655172413793103</v>
      </c>
      <c r="F12">
        <f>B4</f>
        <v>1.19</v>
      </c>
      <c r="G12" s="1">
        <f>$B6-E12</f>
        <v>3.554448275862069</v>
      </c>
      <c r="H12" s="3">
        <f>$B5+E12</f>
        <v>0.426551724137931</v>
      </c>
      <c r="I12" s="2">
        <f t="shared" si="0"/>
        <v>13.288288023305686</v>
      </c>
      <c r="J12" s="2">
        <f t="shared" si="1"/>
        <v>1.1122023391871265</v>
      </c>
      <c r="K12" s="2">
        <f t="shared" si="2"/>
        <v>0.1429003474777301</v>
      </c>
      <c r="L12" s="2">
        <f t="shared" si="3"/>
        <v>0.9693019917093965</v>
      </c>
      <c r="M12" s="2">
        <f t="shared" si="4"/>
        <v>4.763144678304588</v>
      </c>
      <c r="N12" s="2">
        <f t="shared" si="5"/>
        <v>6.701748661723381</v>
      </c>
      <c r="O12" s="2">
        <f>N12*B3</f>
        <v>6.701748661723381</v>
      </c>
      <c r="P12" s="18">
        <f t="shared" si="6"/>
        <v>0.38172413793103444</v>
      </c>
      <c r="Q12" s="2">
        <f>O12/B12</f>
        <v>92.94221062185804</v>
      </c>
    </row>
    <row r="13" spans="1:17" ht="12.75">
      <c r="A13" t="s">
        <v>152</v>
      </c>
      <c r="B13" s="1">
        <f>((B5/2)^2)*PI()</f>
        <v>0.10752100856911066</v>
      </c>
      <c r="D13" s="15">
        <v>3</v>
      </c>
      <c r="E13" s="1">
        <f>D13*B10</f>
        <v>0.08482758620689655</v>
      </c>
      <c r="F13">
        <f>B4</f>
        <v>1.19</v>
      </c>
      <c r="G13" s="1">
        <f>$B6-E13</f>
        <v>3.5261724137931036</v>
      </c>
      <c r="H13" s="3">
        <f>$B5+E13</f>
        <v>0.45482758620689656</v>
      </c>
      <c r="I13" s="2">
        <f t="shared" si="0"/>
        <v>13.182578847051449</v>
      </c>
      <c r="J13" s="2">
        <f t="shared" si="1"/>
        <v>1.1122023391871265</v>
      </c>
      <c r="K13" s="2">
        <f t="shared" si="2"/>
        <v>0.16247385186094032</v>
      </c>
      <c r="L13" s="2">
        <f t="shared" si="3"/>
        <v>0.9497284873261862</v>
      </c>
      <c r="M13" s="2">
        <f t="shared" si="4"/>
        <v>5.038487829400424</v>
      </c>
      <c r="N13" s="2">
        <f t="shared" si="5"/>
        <v>6.937944804052796</v>
      </c>
      <c r="O13" s="2">
        <f>N13*B3</f>
        <v>6.937944804052796</v>
      </c>
      <c r="P13" s="18">
        <f t="shared" si="6"/>
        <v>0.3675862068965517</v>
      </c>
      <c r="Q13" s="2">
        <f>O13/B12</f>
        <v>96.21786190580303</v>
      </c>
    </row>
    <row r="14" spans="1:17" ht="12.75">
      <c r="A14" t="s">
        <v>153</v>
      </c>
      <c r="B14">
        <f>B13/B12</f>
        <v>1.4911392129311942</v>
      </c>
      <c r="D14" s="15">
        <v>4</v>
      </c>
      <c r="E14" s="1">
        <f>D14*B10</f>
        <v>0.11310344827586206</v>
      </c>
      <c r="F14">
        <f>B4</f>
        <v>1.19</v>
      </c>
      <c r="G14" s="1">
        <f>$B6-E14</f>
        <v>3.4978965517241383</v>
      </c>
      <c r="H14" s="3">
        <f>$B5+E14</f>
        <v>0.48310344827586205</v>
      </c>
      <c r="I14" s="2">
        <f t="shared" si="0"/>
        <v>13.07686967079721</v>
      </c>
      <c r="J14" s="2">
        <f t="shared" si="1"/>
        <v>1.1122023391871265</v>
      </c>
      <c r="K14" s="2">
        <f t="shared" si="2"/>
        <v>0.18330324619675084</v>
      </c>
      <c r="L14" s="2">
        <f t="shared" si="3"/>
        <v>0.9288990929903757</v>
      </c>
      <c r="M14" s="2">
        <f t="shared" si="4"/>
        <v>5.308807420685857</v>
      </c>
      <c r="N14" s="2">
        <f t="shared" si="5"/>
        <v>7.166605606666608</v>
      </c>
      <c r="O14" s="2">
        <f>N14*B3</f>
        <v>7.166605606666608</v>
      </c>
      <c r="P14" s="18">
        <f t="shared" si="6"/>
        <v>0.35344827586206895</v>
      </c>
      <c r="Q14" s="2">
        <f>O14/B12</f>
        <v>99.38901044482193</v>
      </c>
    </row>
    <row r="15" spans="1:17" ht="12.75">
      <c r="A15" t="s">
        <v>106</v>
      </c>
      <c r="B15" s="15">
        <f>$Q$10</f>
        <v>86.07739981918986</v>
      </c>
      <c r="D15" s="15">
        <v>5</v>
      </c>
      <c r="E15" s="1">
        <f>D15*B10</f>
        <v>0.1413793103448276</v>
      </c>
      <c r="F15">
        <f>B4</f>
        <v>1.19</v>
      </c>
      <c r="G15" s="1">
        <f>$B6-E15</f>
        <v>3.4696206896551725</v>
      </c>
      <c r="H15" s="3">
        <f>$B5+E15</f>
        <v>0.5113793103448276</v>
      </c>
      <c r="I15" s="2">
        <f t="shared" si="0"/>
        <v>12.97116049454297</v>
      </c>
      <c r="J15" s="2">
        <f t="shared" si="1"/>
        <v>1.1122023391871265</v>
      </c>
      <c r="K15" s="2">
        <f t="shared" si="2"/>
        <v>0.2053885304851618</v>
      </c>
      <c r="L15" s="2">
        <f t="shared" si="3"/>
        <v>0.9068138087019647</v>
      </c>
      <c r="M15" s="2">
        <f t="shared" si="4"/>
        <v>5.574103452160889</v>
      </c>
      <c r="N15" s="2">
        <f t="shared" si="5"/>
        <v>7.387731069564818</v>
      </c>
      <c r="O15" s="2">
        <f>N15*B3</f>
        <v>7.387731069564818</v>
      </c>
      <c r="P15" s="18">
        <f t="shared" si="6"/>
        <v>0.33931034482758615</v>
      </c>
      <c r="Q15" s="2">
        <f>O15/B12</f>
        <v>102.45565623891478</v>
      </c>
    </row>
    <row r="16" spans="1:17" ht="12.75">
      <c r="A16" t="s">
        <v>107</v>
      </c>
      <c r="B16" s="15">
        <f>MAX(Q11:Q39)</f>
        <v>144.70433181932057</v>
      </c>
      <c r="D16" s="15">
        <v>6</v>
      </c>
      <c r="E16" s="1">
        <f>D16*B10</f>
        <v>0.1696551724137931</v>
      </c>
      <c r="F16">
        <f>B4</f>
        <v>1.19</v>
      </c>
      <c r="G16" s="1">
        <f>$B6-E16</f>
        <v>3.441344827586207</v>
      </c>
      <c r="H16" s="3">
        <f>$B5+E16</f>
        <v>0.5396551724137931</v>
      </c>
      <c r="I16" s="2">
        <f t="shared" si="0"/>
        <v>12.865451318288732</v>
      </c>
      <c r="J16" s="2">
        <f t="shared" si="1"/>
        <v>1.1122023391871265</v>
      </c>
      <c r="K16" s="2">
        <f t="shared" si="2"/>
        <v>0.22872970472617307</v>
      </c>
      <c r="L16" s="2">
        <f t="shared" si="3"/>
        <v>0.8834726344609535</v>
      </c>
      <c r="M16" s="2">
        <f t="shared" si="4"/>
        <v>5.83437592382552</v>
      </c>
      <c r="N16" s="2">
        <f t="shared" si="5"/>
        <v>7.6013211927474265</v>
      </c>
      <c r="O16" s="2">
        <f>N16*B3</f>
        <v>7.6013211927474265</v>
      </c>
      <c r="P16" s="18">
        <f t="shared" si="6"/>
        <v>0.3251724137931034</v>
      </c>
      <c r="Q16" s="2">
        <f>O16/B12</f>
        <v>105.41779928808154</v>
      </c>
    </row>
    <row r="17" spans="1:17" ht="12.75">
      <c r="A17" t="s">
        <v>143</v>
      </c>
      <c r="B17" s="15">
        <f>$Q$39</f>
        <v>144.70433181932057</v>
      </c>
      <c r="D17" s="15">
        <v>7</v>
      </c>
      <c r="E17" s="1">
        <f>D17*B10</f>
        <v>0.19793103448275862</v>
      </c>
      <c r="F17">
        <f>B4</f>
        <v>1.19</v>
      </c>
      <c r="G17" s="1">
        <f>$B6-E17</f>
        <v>3.4130689655172417</v>
      </c>
      <c r="H17" s="3">
        <f>$B5+E17</f>
        <v>0.5679310344827586</v>
      </c>
      <c r="I17" s="2">
        <f t="shared" si="0"/>
        <v>12.759742142034494</v>
      </c>
      <c r="J17" s="2">
        <f t="shared" si="1"/>
        <v>1.1122023391871265</v>
      </c>
      <c r="K17" s="2">
        <f t="shared" si="2"/>
        <v>0.2533267689197846</v>
      </c>
      <c r="L17" s="2">
        <f t="shared" si="3"/>
        <v>0.8588755702673418</v>
      </c>
      <c r="M17" s="2">
        <f t="shared" si="4"/>
        <v>6.089624835679748</v>
      </c>
      <c r="N17" s="2">
        <f t="shared" si="5"/>
        <v>7.807375976214432</v>
      </c>
      <c r="O17" s="2">
        <f>N17*B3</f>
        <v>7.807375976214432</v>
      </c>
      <c r="P17" s="18">
        <f t="shared" si="6"/>
        <v>0.31103448275862067</v>
      </c>
      <c r="Q17" s="2">
        <f>O17/B12</f>
        <v>108.27543959232223</v>
      </c>
    </row>
    <row r="18" spans="2:17" ht="12.75">
      <c r="B18" s="1"/>
      <c r="D18" s="15">
        <v>8</v>
      </c>
      <c r="E18" s="1">
        <f>D18*B10</f>
        <v>0.22620689655172413</v>
      </c>
      <c r="F18">
        <f>B4</f>
        <v>1.19</v>
      </c>
      <c r="G18" s="1">
        <f>$B6-E18</f>
        <v>3.384793103448276</v>
      </c>
      <c r="H18" s="3">
        <f>$B5+E18</f>
        <v>0.5962068965517241</v>
      </c>
      <c r="I18" s="2">
        <f t="shared" si="0"/>
        <v>12.654032965780255</v>
      </c>
      <c r="J18" s="2">
        <f t="shared" si="1"/>
        <v>1.1122023391871265</v>
      </c>
      <c r="K18" s="2">
        <f t="shared" si="2"/>
        <v>0.27917972306599653</v>
      </c>
      <c r="L18" s="2">
        <f t="shared" si="3"/>
        <v>0.83302261612113</v>
      </c>
      <c r="M18" s="2">
        <f t="shared" si="4"/>
        <v>6.339850187723576</v>
      </c>
      <c r="N18" s="2">
        <f t="shared" si="5"/>
        <v>8.005895419965835</v>
      </c>
      <c r="O18" s="2">
        <f>N18*B3</f>
        <v>8.005895419965835</v>
      </c>
      <c r="P18" s="18">
        <f t="shared" si="6"/>
        <v>0.2968965517241379</v>
      </c>
      <c r="Q18" s="2">
        <f>O18/B12</f>
        <v>111.02857715163682</v>
      </c>
    </row>
    <row r="19" spans="1:17" ht="12.75">
      <c r="A19" t="s">
        <v>134</v>
      </c>
      <c r="B19" s="1">
        <f>((B4*3)+B5)/2</f>
        <v>1.97</v>
      </c>
      <c r="C19" s="17" t="s">
        <v>151</v>
      </c>
      <c r="D19" s="15">
        <v>9</v>
      </c>
      <c r="E19" s="1">
        <f>D19*B10</f>
        <v>0.25448275862068964</v>
      </c>
      <c r="F19">
        <f>B4</f>
        <v>1.19</v>
      </c>
      <c r="G19" s="1">
        <f>$B6-E19</f>
        <v>3.3565172413793105</v>
      </c>
      <c r="H19" s="3">
        <f>$B5+E19</f>
        <v>0.6244827586206896</v>
      </c>
      <c r="I19" s="2">
        <f t="shared" si="0"/>
        <v>12.548323789526016</v>
      </c>
      <c r="J19" s="2">
        <f t="shared" si="1"/>
        <v>1.1122023391871265</v>
      </c>
      <c r="K19" s="2">
        <f t="shared" si="2"/>
        <v>0.3062885671648088</v>
      </c>
      <c r="L19" s="2">
        <f t="shared" si="3"/>
        <v>0.8059137720223177</v>
      </c>
      <c r="M19" s="2">
        <f t="shared" si="4"/>
        <v>6.585051979957002</v>
      </c>
      <c r="N19" s="2">
        <f t="shared" si="5"/>
        <v>8.196879524001638</v>
      </c>
      <c r="O19" s="2">
        <f>N19*B3</f>
        <v>8.196879524001638</v>
      </c>
      <c r="P19" s="18">
        <f t="shared" si="6"/>
        <v>0.2827586206896552</v>
      </c>
      <c r="Q19" s="2">
        <f>O19/B12</f>
        <v>113.67721196602537</v>
      </c>
    </row>
    <row r="20" spans="4:17" ht="12.75">
      <c r="D20" s="15">
        <v>10</v>
      </c>
      <c r="E20" s="1">
        <f>D20*B10</f>
        <v>0.2827586206896552</v>
      </c>
      <c r="F20">
        <f>B4</f>
        <v>1.19</v>
      </c>
      <c r="G20" s="1">
        <f>$B6-E20</f>
        <v>3.328241379310345</v>
      </c>
      <c r="H20" s="3">
        <f>$B5+E20</f>
        <v>0.6527586206896552</v>
      </c>
      <c r="I20" s="2">
        <f t="shared" si="0"/>
        <v>12.442614613271779</v>
      </c>
      <c r="J20" s="2">
        <f t="shared" si="1"/>
        <v>1.1122023391871265</v>
      </c>
      <c r="K20" s="2">
        <f t="shared" si="2"/>
        <v>0.3346533012162215</v>
      </c>
      <c r="L20" s="2">
        <f t="shared" si="3"/>
        <v>0.777549037970905</v>
      </c>
      <c r="M20" s="2">
        <f t="shared" si="4"/>
        <v>6.825230212380028</v>
      </c>
      <c r="N20" s="2">
        <f t="shared" si="5"/>
        <v>8.380328288321838</v>
      </c>
      <c r="O20" s="2">
        <f>N20*B3</f>
        <v>8.380328288321838</v>
      </c>
      <c r="P20" s="18">
        <f t="shared" si="6"/>
        <v>0.2686206896551724</v>
      </c>
      <c r="Q20" s="2">
        <f>O20/B12</f>
        <v>116.22134403548785</v>
      </c>
    </row>
    <row r="21" spans="4:17" ht="12.75">
      <c r="D21" s="15">
        <v>11</v>
      </c>
      <c r="E21" s="1">
        <f>D21*B10</f>
        <v>0.31103448275862067</v>
      </c>
      <c r="F21">
        <f>B4</f>
        <v>1.19</v>
      </c>
      <c r="G21" s="1">
        <f>$B6-E21</f>
        <v>3.2999655172413798</v>
      </c>
      <c r="H21" s="3">
        <f>$B5+E21</f>
        <v>0.6810344827586207</v>
      </c>
      <c r="I21" s="2">
        <f t="shared" si="0"/>
        <v>12.33690543701754</v>
      </c>
      <c r="J21" s="2">
        <f t="shared" si="1"/>
        <v>1.1122023391871265</v>
      </c>
      <c r="K21" s="2">
        <f t="shared" si="2"/>
        <v>0.3642739252202344</v>
      </c>
      <c r="L21" s="2">
        <f t="shared" si="3"/>
        <v>0.7479284139668921</v>
      </c>
      <c r="M21" s="2">
        <f t="shared" si="4"/>
        <v>7.0603848849926525</v>
      </c>
      <c r="N21" s="2">
        <f t="shared" si="5"/>
        <v>8.556241712926436</v>
      </c>
      <c r="O21" s="2">
        <f>N21*B3</f>
        <v>8.556241712926436</v>
      </c>
      <c r="P21" s="18">
        <f t="shared" si="6"/>
        <v>0.25448275862068964</v>
      </c>
      <c r="Q21" s="2">
        <f>O21/B12</f>
        <v>118.66097336002424</v>
      </c>
    </row>
    <row r="22" spans="4:17" ht="12.75">
      <c r="D22" s="15">
        <v>12</v>
      </c>
      <c r="E22" s="1">
        <f>D22*B10</f>
        <v>0.3393103448275862</v>
      </c>
      <c r="F22">
        <f>B4</f>
        <v>1.19</v>
      </c>
      <c r="G22" s="1">
        <f>$B6-E22</f>
        <v>3.271689655172414</v>
      </c>
      <c r="H22" s="3">
        <f>$B5+E22</f>
        <v>0.7093103448275861</v>
      </c>
      <c r="I22" s="2">
        <f t="shared" si="0"/>
        <v>12.2311962607633</v>
      </c>
      <c r="J22" s="2">
        <f t="shared" si="1"/>
        <v>1.1122023391871265</v>
      </c>
      <c r="K22" s="2">
        <f t="shared" si="2"/>
        <v>0.3951504391768477</v>
      </c>
      <c r="L22" s="2">
        <f t="shared" si="3"/>
        <v>0.7170519000102789</v>
      </c>
      <c r="M22" s="2">
        <f t="shared" si="4"/>
        <v>7.290515997794874</v>
      </c>
      <c r="N22" s="2">
        <f t="shared" si="5"/>
        <v>8.724619797815432</v>
      </c>
      <c r="O22" s="2">
        <f>N22*B3</f>
        <v>8.724619797815432</v>
      </c>
      <c r="P22" s="18">
        <f t="shared" si="6"/>
        <v>0.2403448275862069</v>
      </c>
      <c r="Q22" s="2">
        <f>O22/B12</f>
        <v>120.99609993963456</v>
      </c>
    </row>
    <row r="23" spans="4:17" ht="12.75">
      <c r="D23" s="15">
        <v>13</v>
      </c>
      <c r="E23" s="1">
        <f>D23*B10</f>
        <v>0.3675862068965517</v>
      </c>
      <c r="F23">
        <f>B4</f>
        <v>1.19</v>
      </c>
      <c r="G23" s="1">
        <f>$B6-E23</f>
        <v>3.2434137931034486</v>
      </c>
      <c r="H23" s="3">
        <f>$B5+E23</f>
        <v>0.7375862068965517</v>
      </c>
      <c r="I23" s="2">
        <f t="shared" si="0"/>
        <v>12.125487084509063</v>
      </c>
      <c r="J23" s="2">
        <f t="shared" si="1"/>
        <v>1.1122023391871265</v>
      </c>
      <c r="K23" s="2">
        <f t="shared" si="2"/>
        <v>0.4272828430860614</v>
      </c>
      <c r="L23" s="2">
        <f t="shared" si="3"/>
        <v>0.6849194961010652</v>
      </c>
      <c r="M23" s="2">
        <f t="shared" si="4"/>
        <v>7.515623550786696</v>
      </c>
      <c r="N23" s="2">
        <f t="shared" si="5"/>
        <v>8.885462542988826</v>
      </c>
      <c r="O23" s="2">
        <f>N23*B3</f>
        <v>8.885462542988826</v>
      </c>
      <c r="P23" s="18">
        <f t="shared" si="6"/>
        <v>0.2262068965517241</v>
      </c>
      <c r="Q23" s="2">
        <f>O23/B12</f>
        <v>123.2267237743188</v>
      </c>
    </row>
    <row r="24" spans="4:17" ht="12.75">
      <c r="D24" s="15">
        <v>14</v>
      </c>
      <c r="E24" s="1">
        <f>D24*B10</f>
        <v>0.39586206896551723</v>
      </c>
      <c r="F24">
        <f>B4</f>
        <v>1.19</v>
      </c>
      <c r="G24" s="1">
        <f>$B6-E24</f>
        <v>3.2151379310344828</v>
      </c>
      <c r="H24" s="3">
        <f>$B5+E24</f>
        <v>0.7658620689655172</v>
      </c>
      <c r="I24" s="2">
        <f t="shared" si="0"/>
        <v>12.019777908254822</v>
      </c>
      <c r="J24" s="2">
        <f t="shared" si="1"/>
        <v>1.1122023391871265</v>
      </c>
      <c r="K24" s="2">
        <f t="shared" si="2"/>
        <v>0.46067113694787537</v>
      </c>
      <c r="L24" s="2">
        <f t="shared" si="3"/>
        <v>0.6515312022392512</v>
      </c>
      <c r="M24" s="2">
        <f t="shared" si="4"/>
        <v>7.735707543968115</v>
      </c>
      <c r="N24" s="2">
        <f t="shared" si="5"/>
        <v>9.038769948446618</v>
      </c>
      <c r="O24" s="2">
        <f>N24*B3</f>
        <v>9.038769948446618</v>
      </c>
      <c r="P24" s="18">
        <f t="shared" si="6"/>
        <v>0.21206896551724136</v>
      </c>
      <c r="Q24" s="2">
        <f>O24/B12</f>
        <v>125.35284486407697</v>
      </c>
    </row>
    <row r="25" spans="4:17" ht="12.75">
      <c r="D25" s="15">
        <v>15</v>
      </c>
      <c r="E25" s="1">
        <f>D25*B10</f>
        <v>0.4241379310344827</v>
      </c>
      <c r="F25">
        <f>B4</f>
        <v>1.19</v>
      </c>
      <c r="G25" s="1">
        <f>$B6-E25</f>
        <v>3.1868620689655174</v>
      </c>
      <c r="H25" s="3">
        <f>$B5+E25</f>
        <v>0.7941379310344827</v>
      </c>
      <c r="I25" s="2">
        <f t="shared" si="0"/>
        <v>11.914068732000585</v>
      </c>
      <c r="J25" s="2">
        <f t="shared" si="1"/>
        <v>1.1122023391871265</v>
      </c>
      <c r="K25" s="2">
        <f t="shared" si="2"/>
        <v>0.4953153207622896</v>
      </c>
      <c r="L25" s="2">
        <f t="shared" si="3"/>
        <v>0.616887018424837</v>
      </c>
      <c r="M25" s="2">
        <f t="shared" si="4"/>
        <v>7.950767977339132</v>
      </c>
      <c r="N25" s="2">
        <f t="shared" si="5"/>
        <v>9.184542014188807</v>
      </c>
      <c r="O25" s="2">
        <f>N25*B3</f>
        <v>9.184542014188807</v>
      </c>
      <c r="P25" s="18">
        <f t="shared" si="6"/>
        <v>0.19793103448275862</v>
      </c>
      <c r="Q25" s="2">
        <f>O25/B12</f>
        <v>127.37446320890906</v>
      </c>
    </row>
    <row r="26" spans="4:17" ht="12.75">
      <c r="D26" s="15">
        <v>16</v>
      </c>
      <c r="E26" s="1">
        <f>D26*B10</f>
        <v>0.45241379310344826</v>
      </c>
      <c r="F26">
        <f>B4</f>
        <v>1.19</v>
      </c>
      <c r="G26" s="1">
        <f>$B6-E26</f>
        <v>3.158586206896552</v>
      </c>
      <c r="H26" s="3">
        <f>$B5+E26</f>
        <v>0.8224137931034483</v>
      </c>
      <c r="I26" s="2">
        <f t="shared" si="0"/>
        <v>11.808359555746346</v>
      </c>
      <c r="J26" s="2">
        <f t="shared" si="1"/>
        <v>1.1122023391871265</v>
      </c>
      <c r="K26" s="2">
        <f t="shared" si="2"/>
        <v>0.5312153945293044</v>
      </c>
      <c r="L26" s="2">
        <f t="shared" si="3"/>
        <v>0.5809869446578221</v>
      </c>
      <c r="M26" s="2">
        <f t="shared" si="4"/>
        <v>8.160804850899751</v>
      </c>
      <c r="N26" s="2">
        <f t="shared" si="5"/>
        <v>9.322778740215396</v>
      </c>
      <c r="O26" s="2">
        <f>N26*B3</f>
        <v>9.322778740215396</v>
      </c>
      <c r="P26" s="18">
        <f t="shared" si="6"/>
        <v>0.18379310344827582</v>
      </c>
      <c r="Q26" s="2">
        <f>O26/B12</f>
        <v>129.2915788088151</v>
      </c>
    </row>
    <row r="27" spans="4:17" ht="12.75">
      <c r="D27" s="15">
        <v>17</v>
      </c>
      <c r="E27" s="1">
        <f>D27*B10</f>
        <v>0.4806896551724138</v>
      </c>
      <c r="F27">
        <f>B4</f>
        <v>1.19</v>
      </c>
      <c r="G27" s="1">
        <f>$B6-E27</f>
        <v>3.1303103448275866</v>
      </c>
      <c r="H27" s="3">
        <f>$B5+E27</f>
        <v>0.8506896551724138</v>
      </c>
      <c r="I27" s="2">
        <f t="shared" si="0"/>
        <v>11.702650379492109</v>
      </c>
      <c r="J27" s="2">
        <f t="shared" si="1"/>
        <v>1.1122023391871265</v>
      </c>
      <c r="K27" s="2">
        <f t="shared" si="2"/>
        <v>0.5683713582489195</v>
      </c>
      <c r="L27" s="2">
        <f t="shared" si="3"/>
        <v>0.543830980938207</v>
      </c>
      <c r="M27" s="2">
        <f t="shared" si="4"/>
        <v>8.365818164649966</v>
      </c>
      <c r="N27" s="2">
        <f t="shared" si="5"/>
        <v>9.45348012652638</v>
      </c>
      <c r="O27" s="2">
        <f>N27*B3</f>
        <v>9.45348012652638</v>
      </c>
      <c r="P27" s="18">
        <f t="shared" si="6"/>
        <v>0.16965517241379308</v>
      </c>
      <c r="Q27" s="2">
        <f>O27/B12</f>
        <v>131.104191663795</v>
      </c>
    </row>
    <row r="28" spans="4:17" ht="12.75">
      <c r="D28" s="15">
        <v>18</v>
      </c>
      <c r="E28" s="1">
        <f>D28*B10</f>
        <v>0.5089655172413793</v>
      </c>
      <c r="F28">
        <f>B4</f>
        <v>1.19</v>
      </c>
      <c r="G28" s="1">
        <f>$B6-E28</f>
        <v>3.102034482758621</v>
      </c>
      <c r="H28" s="3">
        <f>$B5+E28</f>
        <v>0.8789655172413793</v>
      </c>
      <c r="I28" s="2">
        <f t="shared" si="0"/>
        <v>11.596941203237868</v>
      </c>
      <c r="J28" s="2">
        <f t="shared" si="1"/>
        <v>1.1122023391871265</v>
      </c>
      <c r="K28" s="2">
        <f t="shared" si="2"/>
        <v>0.6067832119211347</v>
      </c>
      <c r="L28" s="2">
        <f t="shared" si="3"/>
        <v>0.5054191272659918</v>
      </c>
      <c r="M28" s="2">
        <f t="shared" si="4"/>
        <v>8.56580791858978</v>
      </c>
      <c r="N28" s="2">
        <f t="shared" si="5"/>
        <v>9.576646173121762</v>
      </c>
      <c r="O28" s="2">
        <f>N28*B3</f>
        <v>9.576646173121762</v>
      </c>
      <c r="P28" s="18">
        <f t="shared" si="6"/>
        <v>0.15551724137931033</v>
      </c>
      <c r="Q28" s="2">
        <f>O28/B12</f>
        <v>132.81230177384887</v>
      </c>
    </row>
    <row r="29" spans="4:17" ht="12.75">
      <c r="D29" s="15">
        <v>19</v>
      </c>
      <c r="E29" s="1">
        <f>D29*B10</f>
        <v>0.5372413793103448</v>
      </c>
      <c r="F29">
        <f>B4</f>
        <v>1.19</v>
      </c>
      <c r="G29" s="1">
        <f>$B6-E29</f>
        <v>3.0737586206896554</v>
      </c>
      <c r="H29" s="3">
        <f>$B5+E29</f>
        <v>0.9072413793103448</v>
      </c>
      <c r="I29" s="2">
        <f t="shared" si="0"/>
        <v>11.49123202698363</v>
      </c>
      <c r="J29" s="2">
        <f t="shared" si="1"/>
        <v>1.1122023391871265</v>
      </c>
      <c r="K29" s="2">
        <f t="shared" si="2"/>
        <v>0.6464509555459504</v>
      </c>
      <c r="L29" s="2">
        <f t="shared" si="3"/>
        <v>0.4657513836411761</v>
      </c>
      <c r="M29" s="2">
        <f t="shared" si="4"/>
        <v>8.760774112719192</v>
      </c>
      <c r="N29" s="2">
        <f t="shared" si="5"/>
        <v>9.692276880001543</v>
      </c>
      <c r="O29" s="2">
        <f>N29*B3</f>
        <v>9.692276880001543</v>
      </c>
      <c r="P29" s="18">
        <f t="shared" si="6"/>
        <v>0.1413793103448276</v>
      </c>
      <c r="Q29" s="2">
        <f>O29/B12</f>
        <v>134.41590913897667</v>
      </c>
    </row>
    <row r="30" spans="4:17" ht="12.75">
      <c r="D30" s="15">
        <v>20</v>
      </c>
      <c r="E30" s="1">
        <f>D30*B10</f>
        <v>0.5655172413793104</v>
      </c>
      <c r="F30">
        <f>B4</f>
        <v>1.19</v>
      </c>
      <c r="G30" s="1">
        <f>$B6-E30</f>
        <v>3.0454827586206896</v>
      </c>
      <c r="H30" s="3">
        <f>$B5+E30</f>
        <v>0.9355172413793104</v>
      </c>
      <c r="I30" s="2">
        <f t="shared" si="0"/>
        <v>11.38552285072939</v>
      </c>
      <c r="J30" s="2">
        <f t="shared" si="1"/>
        <v>1.1122023391871265</v>
      </c>
      <c r="K30" s="2">
        <f t="shared" si="2"/>
        <v>0.6873745891233666</v>
      </c>
      <c r="L30" s="2">
        <f t="shared" si="3"/>
        <v>0.42482775006375995</v>
      </c>
      <c r="M30" s="2">
        <f t="shared" si="4"/>
        <v>8.950716747038204</v>
      </c>
      <c r="N30" s="2">
        <f t="shared" si="5"/>
        <v>9.800372247165724</v>
      </c>
      <c r="O30" s="2">
        <f>N30*B3</f>
        <v>9.800372247165724</v>
      </c>
      <c r="P30" s="18">
        <f t="shared" si="6"/>
        <v>0.1272413793103448</v>
      </c>
      <c r="Q30" s="2">
        <f>O30/B12</f>
        <v>135.9150137591784</v>
      </c>
    </row>
    <row r="31" spans="4:17" ht="12.75">
      <c r="D31" s="15">
        <v>21</v>
      </c>
      <c r="E31" s="1">
        <f>D31*B10</f>
        <v>0.5937931034482758</v>
      </c>
      <c r="F31">
        <f>B4</f>
        <v>1.19</v>
      </c>
      <c r="G31" s="1">
        <f>$B6-E31</f>
        <v>3.0172068965517242</v>
      </c>
      <c r="H31" s="3">
        <f>$B5+E31</f>
        <v>0.9637931034482758</v>
      </c>
      <c r="I31" s="2">
        <f t="shared" si="0"/>
        <v>11.279813674475152</v>
      </c>
      <c r="J31" s="2">
        <f t="shared" si="1"/>
        <v>1.1122023391871265</v>
      </c>
      <c r="K31" s="2">
        <f t="shared" si="2"/>
        <v>0.729554112653383</v>
      </c>
      <c r="L31" s="2">
        <f t="shared" si="3"/>
        <v>0.38264822653374353</v>
      </c>
      <c r="M31" s="2">
        <f t="shared" si="4"/>
        <v>9.135635821546813</v>
      </c>
      <c r="N31" s="2">
        <f t="shared" si="5"/>
        <v>9.9009322746143</v>
      </c>
      <c r="O31" s="2">
        <f>N31*B3</f>
        <v>9.9009322746143</v>
      </c>
      <c r="P31" s="18">
        <f t="shared" si="6"/>
        <v>0.11310344827586205</v>
      </c>
      <c r="Q31" s="2">
        <f>O31/B12</f>
        <v>137.30961563445405</v>
      </c>
    </row>
    <row r="32" spans="4:17" ht="12.75">
      <c r="D32" s="15">
        <v>22</v>
      </c>
      <c r="E32" s="1">
        <f>D32*B10</f>
        <v>0.6220689655172413</v>
      </c>
      <c r="F32">
        <f>B4</f>
        <v>1.19</v>
      </c>
      <c r="G32" s="1">
        <f>$B6-E32</f>
        <v>2.988931034482759</v>
      </c>
      <c r="H32" s="3">
        <f>$B5+E32</f>
        <v>0.9920689655172413</v>
      </c>
      <c r="I32" s="2">
        <f t="shared" si="0"/>
        <v>11.174104498220915</v>
      </c>
      <c r="J32" s="2">
        <f t="shared" si="1"/>
        <v>1.1122023391871265</v>
      </c>
      <c r="K32" s="2">
        <f t="shared" si="2"/>
        <v>0.7729895261359997</v>
      </c>
      <c r="L32" s="2">
        <f t="shared" si="3"/>
        <v>0.3392128130511268</v>
      </c>
      <c r="M32" s="2">
        <f t="shared" si="4"/>
        <v>9.315531336245021</v>
      </c>
      <c r="N32" s="2">
        <f t="shared" si="5"/>
        <v>9.993956962347275</v>
      </c>
      <c r="O32" s="2">
        <f>N32*B3</f>
        <v>9.993956962347275</v>
      </c>
      <c r="P32" s="18">
        <f t="shared" si="6"/>
        <v>0.09896551724137931</v>
      </c>
      <c r="Q32" s="2">
        <f>O32/B12</f>
        <v>138.59971476480362</v>
      </c>
    </row>
    <row r="33" spans="4:17" ht="12.75">
      <c r="D33" s="15">
        <v>23</v>
      </c>
      <c r="E33" s="1">
        <f>D33*B10</f>
        <v>0.6503448275862068</v>
      </c>
      <c r="F33">
        <f>B4</f>
        <v>1.19</v>
      </c>
      <c r="G33" s="1">
        <f>$B6-E33</f>
        <v>2.9606551724137935</v>
      </c>
      <c r="H33" s="3">
        <f>$B5+E33</f>
        <v>1.0203448275862068</v>
      </c>
      <c r="I33" s="2">
        <f t="shared" si="0"/>
        <v>11.068395321966676</v>
      </c>
      <c r="J33" s="2">
        <f t="shared" si="1"/>
        <v>1.1122023391871265</v>
      </c>
      <c r="K33" s="2">
        <f t="shared" si="2"/>
        <v>0.8176808295712168</v>
      </c>
      <c r="L33" s="2">
        <f t="shared" si="3"/>
        <v>0.2945215096159097</v>
      </c>
      <c r="M33" s="2">
        <f t="shared" si="4"/>
        <v>9.49040329113283</v>
      </c>
      <c r="N33" s="2">
        <f t="shared" si="5"/>
        <v>10.07944631036465</v>
      </c>
      <c r="O33" s="2">
        <f>N33*B3</f>
        <v>10.07944631036465</v>
      </c>
      <c r="P33" s="18">
        <f t="shared" si="6"/>
        <v>0.08482758620689657</v>
      </c>
      <c r="Q33" s="2">
        <f>O33/B12</f>
        <v>139.78531115022716</v>
      </c>
    </row>
    <row r="34" spans="4:17" ht="12.75">
      <c r="D34" s="15">
        <v>24</v>
      </c>
      <c r="E34" s="1">
        <f>D34*B10</f>
        <v>0.6786206896551724</v>
      </c>
      <c r="F34">
        <f>B4</f>
        <v>1.19</v>
      </c>
      <c r="G34" s="1">
        <f>$B6-E34</f>
        <v>2.9323793103448277</v>
      </c>
      <c r="H34" s="3">
        <f>$B5+E34</f>
        <v>1.0486206896551724</v>
      </c>
      <c r="I34" s="2">
        <f t="shared" si="0"/>
        <v>10.962686145712437</v>
      </c>
      <c r="J34" s="2">
        <f t="shared" si="1"/>
        <v>1.1122023391871265</v>
      </c>
      <c r="K34" s="2">
        <f t="shared" si="2"/>
        <v>0.8636280229590342</v>
      </c>
      <c r="L34" s="2">
        <f t="shared" si="3"/>
        <v>0.24857431622809234</v>
      </c>
      <c r="M34" s="2">
        <f t="shared" si="4"/>
        <v>9.660251686210234</v>
      </c>
      <c r="N34" s="2">
        <f t="shared" si="5"/>
        <v>10.157400318666419</v>
      </c>
      <c r="O34" s="2">
        <f>N34*B3</f>
        <v>10.157400318666419</v>
      </c>
      <c r="P34" s="18">
        <f t="shared" si="6"/>
        <v>0.07068965517241377</v>
      </c>
      <c r="Q34" s="2">
        <f>O34/B12</f>
        <v>140.86640479072454</v>
      </c>
    </row>
    <row r="35" spans="4:17" ht="12.75">
      <c r="D35" s="15">
        <v>25</v>
      </c>
      <c r="E35" s="1">
        <f>D35*B10</f>
        <v>0.7068965517241379</v>
      </c>
      <c r="F35">
        <f>B4</f>
        <v>1.19</v>
      </c>
      <c r="G35" s="1">
        <f>$B6-E35</f>
        <v>2.9041034482758623</v>
      </c>
      <c r="H35" s="3">
        <f>$B5+E35</f>
        <v>1.076896551724138</v>
      </c>
      <c r="I35" s="2">
        <f t="shared" si="0"/>
        <v>10.856976969458199</v>
      </c>
      <c r="J35" s="2">
        <f t="shared" si="1"/>
        <v>1.1122023391871265</v>
      </c>
      <c r="K35" s="2">
        <f t="shared" si="2"/>
        <v>0.9108311062994521</v>
      </c>
      <c r="L35" s="2">
        <f t="shared" si="3"/>
        <v>0.20137123288767445</v>
      </c>
      <c r="M35" s="2">
        <f t="shared" si="4"/>
        <v>9.825076521477241</v>
      </c>
      <c r="N35" s="2">
        <f t="shared" si="5"/>
        <v>10.22781898725259</v>
      </c>
      <c r="O35" s="2">
        <f>N35*B3</f>
        <v>10.22781898725259</v>
      </c>
      <c r="P35" s="18">
        <f t="shared" si="6"/>
        <v>0.05655172413793097</v>
      </c>
      <c r="Q35" s="2">
        <f>O35/B12</f>
        <v>141.84299568629592</v>
      </c>
    </row>
    <row r="36" spans="4:17" ht="12.75">
      <c r="D36" s="15">
        <v>26</v>
      </c>
      <c r="E36" s="1">
        <f>D36*B10</f>
        <v>0.7351724137931034</v>
      </c>
      <c r="F36">
        <f>B4</f>
        <v>1.19</v>
      </c>
      <c r="G36" s="1">
        <f>$B6-E36</f>
        <v>2.875827586206897</v>
      </c>
      <c r="H36" s="3">
        <f>$B5+E36</f>
        <v>1.1051724137931034</v>
      </c>
      <c r="I36" s="2">
        <f t="shared" si="0"/>
        <v>10.75126779320396</v>
      </c>
      <c r="J36" s="2">
        <f t="shared" si="1"/>
        <v>1.1122023391871265</v>
      </c>
      <c r="K36" s="2">
        <f t="shared" si="2"/>
        <v>0.95929007959247</v>
      </c>
      <c r="L36" s="2">
        <f t="shared" si="3"/>
        <v>0.15291225959465649</v>
      </c>
      <c r="M36" s="2">
        <f t="shared" si="4"/>
        <v>9.984877796933844</v>
      </c>
      <c r="N36" s="2">
        <f t="shared" si="5"/>
        <v>10.290702316123157</v>
      </c>
      <c r="O36" s="2">
        <f>N36*B3</f>
        <v>10.290702316123157</v>
      </c>
      <c r="P36" s="18">
        <f t="shared" si="6"/>
        <v>0.04241379310344828</v>
      </c>
      <c r="Q36" s="2">
        <f>O36/B12</f>
        <v>142.7150838369412</v>
      </c>
    </row>
    <row r="37" spans="4:17" ht="12.75">
      <c r="D37" s="15">
        <v>27</v>
      </c>
      <c r="E37" s="1">
        <f>D37*B10</f>
        <v>0.763448275862069</v>
      </c>
      <c r="F37">
        <f>B4</f>
        <v>1.19</v>
      </c>
      <c r="G37" s="1">
        <f>$B6-E37</f>
        <v>2.847551724137931</v>
      </c>
      <c r="H37" s="3">
        <f>$B5+E37</f>
        <v>1.133448275862069</v>
      </c>
      <c r="I37" s="2">
        <f t="shared" si="0"/>
        <v>10.645558616949721</v>
      </c>
      <c r="J37" s="2">
        <f t="shared" si="1"/>
        <v>1.1122023391871265</v>
      </c>
      <c r="K37" s="2">
        <f t="shared" si="2"/>
        <v>1.0090049428380885</v>
      </c>
      <c r="L37" s="2">
        <f t="shared" si="3"/>
        <v>0.10319739634903802</v>
      </c>
      <c r="M37" s="2">
        <f t="shared" si="4"/>
        <v>10.139655512580045</v>
      </c>
      <c r="N37" s="2">
        <f t="shared" si="5"/>
        <v>10.346050305278121</v>
      </c>
      <c r="O37" s="2">
        <f>N37*B3</f>
        <v>10.346050305278121</v>
      </c>
      <c r="P37" s="18">
        <f t="shared" si="6"/>
        <v>0.028275862068965485</v>
      </c>
      <c r="Q37" s="2">
        <f>O37/B12</f>
        <v>143.4826692426604</v>
      </c>
    </row>
    <row r="38" spans="4:17" ht="12.75">
      <c r="D38" s="15">
        <v>28</v>
      </c>
      <c r="E38" s="1">
        <f>D38*$B$10</f>
        <v>0.7917241379310345</v>
      </c>
      <c r="F38">
        <f>$B$4</f>
        <v>1.19</v>
      </c>
      <c r="G38" s="1">
        <f>$B$6-E38</f>
        <v>2.8192758620689657</v>
      </c>
      <c r="H38" s="3">
        <f>$B$5+E38</f>
        <v>1.1617241379310346</v>
      </c>
      <c r="I38" s="2">
        <f t="shared" si="0"/>
        <v>10.539849440695482</v>
      </c>
      <c r="J38" s="2">
        <f t="shared" si="1"/>
        <v>1.1122023391871265</v>
      </c>
      <c r="K38" s="2">
        <f t="shared" si="2"/>
        <v>1.0599756960363076</v>
      </c>
      <c r="L38" s="2">
        <f t="shared" si="3"/>
        <v>0.05222664315081893</v>
      </c>
      <c r="M38" s="2">
        <f t="shared" si="4"/>
        <v>10.289409668415846</v>
      </c>
      <c r="N38" s="2">
        <f t="shared" si="5"/>
        <v>10.393862954717484</v>
      </c>
      <c r="O38" s="2">
        <f>N38*$B$3</f>
        <v>10.393862954717484</v>
      </c>
      <c r="P38" s="18">
        <f t="shared" si="6"/>
        <v>0.014137931034482687</v>
      </c>
      <c r="Q38" s="2">
        <f>O38/$B$12</f>
        <v>144.14575190345352</v>
      </c>
    </row>
    <row r="39" spans="1:17" ht="12.75">
      <c r="A39" t="s">
        <v>122</v>
      </c>
      <c r="D39" s="15">
        <v>29</v>
      </c>
      <c r="E39" s="1">
        <f>D39*$B$10</f>
        <v>0.82</v>
      </c>
      <c r="F39">
        <f>$B$4</f>
        <v>1.19</v>
      </c>
      <c r="G39" s="1">
        <f>$B$6-E39</f>
        <v>2.7910000000000004</v>
      </c>
      <c r="H39" s="3">
        <f>$B$5+E39</f>
        <v>1.19</v>
      </c>
      <c r="I39" s="2">
        <f>(F39*(PI())*G39)</f>
        <v>10.434140264441245</v>
      </c>
      <c r="J39" s="2">
        <f>((F39/2)^2)*PI()</f>
        <v>1.1122023391871265</v>
      </c>
      <c r="K39" s="2">
        <f>((H39/2)^2)*PI()</f>
        <v>1.1122023391871265</v>
      </c>
      <c r="L39" s="2">
        <f>J39-K39</f>
        <v>0</v>
      </c>
      <c r="M39" s="2">
        <f>(H39*PI())*G39</f>
        <v>10.434140264441245</v>
      </c>
      <c r="N39" s="2">
        <f>(L39*2)+M39</f>
        <v>10.434140264441245</v>
      </c>
      <c r="O39" s="2">
        <f>N39*$B$3</f>
        <v>10.434140264441245</v>
      </c>
      <c r="P39" s="18">
        <f t="shared" si="6"/>
        <v>0</v>
      </c>
      <c r="Q39" s="2">
        <f>O39/$B$12</f>
        <v>144.70433181932057</v>
      </c>
    </row>
    <row r="40" ht="12.75">
      <c r="A40" s="9" t="s">
        <v>74</v>
      </c>
    </row>
    <row r="41" ht="12.75">
      <c r="A41" s="9" t="s">
        <v>149</v>
      </c>
    </row>
    <row r="42" ht="12.75">
      <c r="A42" s="19">
        <v>38515</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Q42"/>
  <sheetViews>
    <sheetView workbookViewId="0" topLeftCell="A1">
      <selection activeCell="B10" sqref="B10"/>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165</v>
      </c>
      <c r="B1" s="11" t="s">
        <v>154</v>
      </c>
      <c r="D1" t="s">
        <v>130</v>
      </c>
    </row>
    <row r="2" ht="12.75">
      <c r="D2" t="s">
        <v>147</v>
      </c>
    </row>
    <row r="3" spans="1:4" ht="12.75">
      <c r="A3" s="7" t="s">
        <v>136</v>
      </c>
      <c r="B3" s="12">
        <v>1</v>
      </c>
      <c r="D3" t="s">
        <v>166</v>
      </c>
    </row>
    <row r="4" spans="1:4" ht="12.75">
      <c r="A4" s="7" t="s">
        <v>137</v>
      </c>
      <c r="B4" s="13">
        <v>1.19</v>
      </c>
      <c r="D4" t="s">
        <v>131</v>
      </c>
    </row>
    <row r="5" spans="1:8" ht="12.75">
      <c r="A5" s="7" t="s">
        <v>138</v>
      </c>
      <c r="B5" s="13">
        <v>0.37</v>
      </c>
      <c r="H5" t="s">
        <v>141</v>
      </c>
    </row>
    <row r="6" spans="1:4" ht="12.75">
      <c r="A6" s="7" t="s">
        <v>139</v>
      </c>
      <c r="B6" s="13">
        <v>3.611</v>
      </c>
      <c r="D6" s="14" t="s">
        <v>148</v>
      </c>
    </row>
    <row r="7" spans="1:14" ht="12.75">
      <c r="A7" s="7" t="s">
        <v>140</v>
      </c>
      <c r="B7" s="12">
        <v>0.304</v>
      </c>
      <c r="L7" t="s">
        <v>127</v>
      </c>
      <c r="M7" t="s">
        <v>128</v>
      </c>
      <c r="N7" t="s">
        <v>133</v>
      </c>
    </row>
    <row r="8" spans="5:17" ht="12.75">
      <c r="E8" t="s">
        <v>125</v>
      </c>
      <c r="F8" t="s">
        <v>119</v>
      </c>
      <c r="G8" t="s">
        <v>104</v>
      </c>
      <c r="H8" t="s">
        <v>112</v>
      </c>
      <c r="I8" t="s">
        <v>110</v>
      </c>
      <c r="J8" t="s">
        <v>113</v>
      </c>
      <c r="K8" t="s">
        <v>115</v>
      </c>
      <c r="L8" t="s">
        <v>113</v>
      </c>
      <c r="M8" t="s">
        <v>116</v>
      </c>
      <c r="N8" t="s">
        <v>117</v>
      </c>
      <c r="O8" t="s">
        <v>120</v>
      </c>
      <c r="P8" t="s">
        <v>123</v>
      </c>
      <c r="Q8" t="s">
        <v>21</v>
      </c>
    </row>
    <row r="9" spans="4:16" ht="12.75">
      <c r="D9" s="15" t="s">
        <v>109</v>
      </c>
      <c r="E9" t="s">
        <v>129</v>
      </c>
      <c r="G9" t="s">
        <v>6</v>
      </c>
      <c r="I9" t="s">
        <v>118</v>
      </c>
      <c r="J9" t="s">
        <v>126</v>
      </c>
      <c r="K9" t="s">
        <v>111</v>
      </c>
      <c r="L9" t="s">
        <v>114</v>
      </c>
      <c r="M9" t="s">
        <v>132</v>
      </c>
      <c r="N9" t="s">
        <v>111</v>
      </c>
      <c r="O9" t="s">
        <v>121</v>
      </c>
      <c r="P9" t="s">
        <v>124</v>
      </c>
    </row>
    <row r="10" spans="1:17" ht="12.75">
      <c r="A10" t="s">
        <v>142</v>
      </c>
      <c r="B10" s="16">
        <f>(($B$4-$B$5))/29</f>
        <v>0.028275862068965516</v>
      </c>
      <c r="C10" s="17" t="s">
        <v>144</v>
      </c>
      <c r="D10" s="15">
        <v>0</v>
      </c>
      <c r="E10" s="1">
        <f>D10*$B$10</f>
        <v>0</v>
      </c>
      <c r="F10">
        <f>B4</f>
        <v>1.19</v>
      </c>
      <c r="G10" s="1">
        <f>$B6-E10</f>
        <v>3.611</v>
      </c>
      <c r="H10" s="3">
        <f>$B5+E10</f>
        <v>0.37</v>
      </c>
      <c r="I10" s="2">
        <f>((F10-E10)*(PI())*G10)</f>
        <v>13.499706375814164</v>
      </c>
      <c r="J10" s="2">
        <f>((F10/2)^2)*PI()</f>
        <v>1.1122023391871265</v>
      </c>
      <c r="K10" s="2">
        <f>((H10/2)^2)*PI()</f>
        <v>0.10752100856911066</v>
      </c>
      <c r="L10" s="2">
        <f>J10-K10</f>
        <v>1.0046813306180158</v>
      </c>
      <c r="M10" s="2">
        <f>(H10*PI())*G10</f>
        <v>4.197387696681716</v>
      </c>
      <c r="N10" s="2">
        <f>(L10*2)+I10+M10</f>
        <v>19.706456733731912</v>
      </c>
      <c r="O10" s="2">
        <f>N10*B3</f>
        <v>19.706456733731912</v>
      </c>
      <c r="P10" s="18">
        <f>(F10-H10)/2</f>
        <v>0.41</v>
      </c>
      <c r="Q10" s="2">
        <f>O10/B12</f>
        <v>271.50103878116346</v>
      </c>
    </row>
    <row r="11" spans="1:17" ht="12.75">
      <c r="A11" t="s">
        <v>105</v>
      </c>
      <c r="B11" s="1">
        <f>$O$10</f>
        <v>19.706456733731912</v>
      </c>
      <c r="C11" s="17" t="s">
        <v>145</v>
      </c>
      <c r="D11" s="15">
        <v>1</v>
      </c>
      <c r="E11" s="1">
        <f>D11*B10</f>
        <v>0.028275862068965516</v>
      </c>
      <c r="F11">
        <f>B4</f>
        <v>1.19</v>
      </c>
      <c r="G11" s="1">
        <f>$B6-E11</f>
        <v>3.582724137931035</v>
      </c>
      <c r="H11" s="3">
        <f>$B5+E11</f>
        <v>0.39827586206896554</v>
      </c>
      <c r="I11" s="2">
        <f aca="true" t="shared" si="0" ref="I11:I39">((F11-E11)*(PI())*G11)</f>
        <v>13.07573936983987</v>
      </c>
      <c r="J11" s="2">
        <f aca="true" t="shared" si="1" ref="J11:J38">((F11/2)^2)*PI()</f>
        <v>1.1122023391871265</v>
      </c>
      <c r="K11" s="2">
        <f aca="true" t="shared" si="2" ref="K11:K38">((H11/2)^2)*PI()</f>
        <v>0.12458273304712021</v>
      </c>
      <c r="L11" s="2">
        <f aca="true" t="shared" si="3" ref="L11:L38">J11-K11</f>
        <v>0.9876196061400063</v>
      </c>
      <c r="M11" s="2">
        <f aca="true" t="shared" si="4" ref="M11:M38">(H11*PI())*G11</f>
        <v>4.482777967398353</v>
      </c>
      <c r="N11" s="2">
        <f aca="true" t="shared" si="5" ref="N11:N39">(L11*2)+I11+M11</f>
        <v>19.533756549518234</v>
      </c>
      <c r="O11" s="2">
        <f>N11*B3</f>
        <v>19.533756549518234</v>
      </c>
      <c r="P11" s="18">
        <f aca="true" t="shared" si="6" ref="P11:P39">(F11-H11)/2</f>
        <v>0.39586206896551723</v>
      </c>
      <c r="Q11" s="2">
        <f>O11/B12</f>
        <v>269.1217029094107</v>
      </c>
    </row>
    <row r="12" spans="1:17" ht="12.75">
      <c r="A12" t="s">
        <v>108</v>
      </c>
      <c r="B12" s="1">
        <f>((B7/2)^2)*PI()</f>
        <v>0.07258335666853857</v>
      </c>
      <c r="C12" s="14" t="s">
        <v>146</v>
      </c>
      <c r="D12" s="15">
        <v>2</v>
      </c>
      <c r="E12" s="1">
        <f>D12*B10</f>
        <v>0.05655172413793103</v>
      </c>
      <c r="F12">
        <f>B4</f>
        <v>1.19</v>
      </c>
      <c r="G12" s="1">
        <f>$B6-E12</f>
        <v>3.554448275862069</v>
      </c>
      <c r="H12" s="3">
        <f>$B5+E12</f>
        <v>0.426551724137931</v>
      </c>
      <c r="I12" s="2">
        <f t="shared" si="0"/>
        <v>12.656795923675976</v>
      </c>
      <c r="J12" s="2">
        <f t="shared" si="1"/>
        <v>1.1122023391871265</v>
      </c>
      <c r="K12" s="2">
        <f t="shared" si="2"/>
        <v>0.1429003474777301</v>
      </c>
      <c r="L12" s="2">
        <f t="shared" si="3"/>
        <v>0.9693019917093965</v>
      </c>
      <c r="M12" s="2">
        <f t="shared" si="4"/>
        <v>4.763144678304588</v>
      </c>
      <c r="N12" s="2">
        <f t="shared" si="5"/>
        <v>19.358544585399358</v>
      </c>
      <c r="O12" s="2">
        <f>N12*B3</f>
        <v>19.358544585399358</v>
      </c>
      <c r="P12" s="18">
        <f t="shared" si="6"/>
        <v>0.38172413793103444</v>
      </c>
      <c r="Q12" s="2">
        <f>O12/B12</f>
        <v>266.7077615851068</v>
      </c>
    </row>
    <row r="13" spans="1:17" ht="12.75">
      <c r="A13" t="s">
        <v>152</v>
      </c>
      <c r="B13" s="1">
        <f>((B5/2)^2)*PI()</f>
        <v>0.10752100856911066</v>
      </c>
      <c r="D13" s="15">
        <v>3</v>
      </c>
      <c r="E13" s="1">
        <f>D13*B10</f>
        <v>0.08482758620689655</v>
      </c>
      <c r="F13">
        <f>B4</f>
        <v>1.19</v>
      </c>
      <c r="G13" s="1">
        <f>$B6-E13</f>
        <v>3.5261724137931036</v>
      </c>
      <c r="H13" s="3">
        <f>$B5+E13</f>
        <v>0.45482758620689656</v>
      </c>
      <c r="I13" s="2">
        <f t="shared" si="0"/>
        <v>12.242876037322484</v>
      </c>
      <c r="J13" s="2">
        <f t="shared" si="1"/>
        <v>1.1122023391871265</v>
      </c>
      <c r="K13" s="2">
        <f t="shared" si="2"/>
        <v>0.16247385186094032</v>
      </c>
      <c r="L13" s="2">
        <f t="shared" si="3"/>
        <v>0.9497284873261862</v>
      </c>
      <c r="M13" s="2">
        <f t="shared" si="4"/>
        <v>5.038487829400424</v>
      </c>
      <c r="N13" s="2">
        <f t="shared" si="5"/>
        <v>19.18082084137528</v>
      </c>
      <c r="O13" s="2">
        <f>N13*B3</f>
        <v>19.18082084137528</v>
      </c>
      <c r="P13" s="18">
        <f t="shared" si="6"/>
        <v>0.3675862068965517</v>
      </c>
      <c r="Q13" s="2">
        <f>O13/B12</f>
        <v>264.25921480825167</v>
      </c>
    </row>
    <row r="14" spans="1:17" ht="12.75">
      <c r="A14" t="s">
        <v>153</v>
      </c>
      <c r="B14">
        <f>B13/B12</f>
        <v>1.4813452216066483</v>
      </c>
      <c r="D14" s="15">
        <v>4</v>
      </c>
      <c r="E14" s="1">
        <f>D14*B10</f>
        <v>0.11310344827586206</v>
      </c>
      <c r="F14">
        <f>B4</f>
        <v>1.19</v>
      </c>
      <c r="G14" s="1">
        <f>$B6-E14</f>
        <v>3.4978965517241383</v>
      </c>
      <c r="H14" s="3">
        <f>$B5+E14</f>
        <v>0.48310344827586205</v>
      </c>
      <c r="I14" s="2">
        <f t="shared" si="0"/>
        <v>11.833979710779392</v>
      </c>
      <c r="J14" s="2">
        <f t="shared" si="1"/>
        <v>1.1122023391871265</v>
      </c>
      <c r="K14" s="2">
        <f t="shared" si="2"/>
        <v>0.18330324619675084</v>
      </c>
      <c r="L14" s="2">
        <f t="shared" si="3"/>
        <v>0.9288990929903757</v>
      </c>
      <c r="M14" s="2">
        <f t="shared" si="4"/>
        <v>5.308807420685857</v>
      </c>
      <c r="N14" s="2">
        <f t="shared" si="5"/>
        <v>19.000585317446</v>
      </c>
      <c r="O14" s="2">
        <f>N14*B3</f>
        <v>19.000585317446</v>
      </c>
      <c r="P14" s="18">
        <f t="shared" si="6"/>
        <v>0.35344827586206895</v>
      </c>
      <c r="Q14" s="2">
        <f>O14/B12</f>
        <v>261.77606257884526</v>
      </c>
    </row>
    <row r="15" spans="1:17" ht="12.75">
      <c r="A15" t="s">
        <v>106</v>
      </c>
      <c r="B15" s="15">
        <f>$Q$10</f>
        <v>271.50103878116346</v>
      </c>
      <c r="D15" s="15">
        <v>5</v>
      </c>
      <c r="E15" s="1">
        <f>D15*B10</f>
        <v>0.1413793103448276</v>
      </c>
      <c r="F15">
        <f>B4</f>
        <v>1.19</v>
      </c>
      <c r="G15" s="1">
        <f>$B6-E15</f>
        <v>3.4696206896551725</v>
      </c>
      <c r="H15" s="3">
        <f>$B5+E15</f>
        <v>0.5113793103448276</v>
      </c>
      <c r="I15" s="2">
        <f t="shared" si="0"/>
        <v>11.430106944046704</v>
      </c>
      <c r="J15" s="2">
        <f t="shared" si="1"/>
        <v>1.1122023391871265</v>
      </c>
      <c r="K15" s="2">
        <f t="shared" si="2"/>
        <v>0.2053885304851618</v>
      </c>
      <c r="L15" s="2">
        <f t="shared" si="3"/>
        <v>0.9068138087019647</v>
      </c>
      <c r="M15" s="2">
        <f t="shared" si="4"/>
        <v>5.574103452160889</v>
      </c>
      <c r="N15" s="2">
        <f t="shared" si="5"/>
        <v>18.81783801361152</v>
      </c>
      <c r="O15" s="2">
        <f>N15*B3</f>
        <v>18.81783801361152</v>
      </c>
      <c r="P15" s="18">
        <f t="shared" si="6"/>
        <v>0.33931034482758615</v>
      </c>
      <c r="Q15" s="2">
        <f>O15/B12</f>
        <v>259.2583048968877</v>
      </c>
    </row>
    <row r="16" spans="1:17" ht="12.75">
      <c r="A16" t="s">
        <v>107</v>
      </c>
      <c r="B16" s="15">
        <f>MAX(Q11:Q39)</f>
        <v>269.1217029094107</v>
      </c>
      <c r="D16" s="15">
        <v>6</v>
      </c>
      <c r="E16" s="1">
        <f>D16*B10</f>
        <v>0.1696551724137931</v>
      </c>
      <c r="F16">
        <f>B4</f>
        <v>1.19</v>
      </c>
      <c r="G16" s="1">
        <f>$B6-E16</f>
        <v>3.441344827586207</v>
      </c>
      <c r="H16" s="3">
        <f>$B5+E16</f>
        <v>0.5396551724137931</v>
      </c>
      <c r="I16" s="2">
        <f t="shared" si="0"/>
        <v>11.031257737124415</v>
      </c>
      <c r="J16" s="2">
        <f t="shared" si="1"/>
        <v>1.1122023391871265</v>
      </c>
      <c r="K16" s="2">
        <f t="shared" si="2"/>
        <v>0.22872970472617307</v>
      </c>
      <c r="L16" s="2">
        <f t="shared" si="3"/>
        <v>0.8834726344609535</v>
      </c>
      <c r="M16" s="2">
        <f t="shared" si="4"/>
        <v>5.83437592382552</v>
      </c>
      <c r="N16" s="2">
        <f t="shared" si="5"/>
        <v>18.63257892987184</v>
      </c>
      <c r="O16" s="2">
        <f>N16*B3</f>
        <v>18.63257892987184</v>
      </c>
      <c r="P16" s="18">
        <f t="shared" si="6"/>
        <v>0.3251724137931034</v>
      </c>
      <c r="Q16" s="2">
        <f>O16/B12</f>
        <v>256.7059417623789</v>
      </c>
    </row>
    <row r="17" spans="1:17" ht="12.75">
      <c r="A17" t="s">
        <v>143</v>
      </c>
      <c r="B17" s="15">
        <f>$Q$39</f>
        <v>188.45048476454298</v>
      </c>
      <c r="D17" s="15">
        <v>7</v>
      </c>
      <c r="E17" s="1">
        <f>D17*B10</f>
        <v>0.19793103448275862</v>
      </c>
      <c r="F17">
        <f>B4</f>
        <v>1.19</v>
      </c>
      <c r="G17" s="1">
        <f>$B6-E17</f>
        <v>3.4130689655172417</v>
      </c>
      <c r="H17" s="3">
        <f>$B5+E17</f>
        <v>0.5679310344827586</v>
      </c>
      <c r="I17" s="2">
        <f t="shared" si="0"/>
        <v>10.63743209001253</v>
      </c>
      <c r="J17" s="2">
        <f t="shared" si="1"/>
        <v>1.1122023391871265</v>
      </c>
      <c r="K17" s="2">
        <f t="shared" si="2"/>
        <v>0.2533267689197846</v>
      </c>
      <c r="L17" s="2">
        <f t="shared" si="3"/>
        <v>0.8588755702673418</v>
      </c>
      <c r="M17" s="2">
        <f t="shared" si="4"/>
        <v>6.089624835679748</v>
      </c>
      <c r="N17" s="2">
        <f t="shared" si="5"/>
        <v>18.444808066226962</v>
      </c>
      <c r="O17" s="2">
        <f>N17*B3</f>
        <v>18.444808066226962</v>
      </c>
      <c r="P17" s="18">
        <f t="shared" si="6"/>
        <v>0.31103448275862067</v>
      </c>
      <c r="Q17" s="2">
        <f>O17/B12</f>
        <v>254.11897317531896</v>
      </c>
    </row>
    <row r="18" spans="2:17" ht="12.75">
      <c r="B18" s="1"/>
      <c r="D18" s="15">
        <v>8</v>
      </c>
      <c r="E18" s="1">
        <f>D18*B10</f>
        <v>0.22620689655172413</v>
      </c>
      <c r="F18">
        <f>B4</f>
        <v>1.19</v>
      </c>
      <c r="G18" s="1">
        <f>$B6-E18</f>
        <v>3.384793103448276</v>
      </c>
      <c r="H18" s="3">
        <f>$B5+E18</f>
        <v>0.5962068965517241</v>
      </c>
      <c r="I18" s="2">
        <f t="shared" si="0"/>
        <v>10.248630002711044</v>
      </c>
      <c r="J18" s="2">
        <f t="shared" si="1"/>
        <v>1.1122023391871265</v>
      </c>
      <c r="K18" s="2">
        <f t="shared" si="2"/>
        <v>0.27917972306599653</v>
      </c>
      <c r="L18" s="2">
        <f t="shared" si="3"/>
        <v>0.83302261612113</v>
      </c>
      <c r="M18" s="2">
        <f t="shared" si="4"/>
        <v>6.339850187723576</v>
      </c>
      <c r="N18" s="2">
        <f t="shared" si="5"/>
        <v>18.254525422676878</v>
      </c>
      <c r="O18" s="2">
        <f>N18*B3</f>
        <v>18.254525422676878</v>
      </c>
      <c r="P18" s="18">
        <f t="shared" si="6"/>
        <v>0.2968965517241379</v>
      </c>
      <c r="Q18" s="2">
        <f>O18/B12</f>
        <v>251.49739913570772</v>
      </c>
    </row>
    <row r="19" spans="1:17" ht="12.75">
      <c r="A19" t="s">
        <v>134</v>
      </c>
      <c r="B19" s="1">
        <f>((B4*3)+B5)/2</f>
        <v>1.97</v>
      </c>
      <c r="C19" s="17" t="s">
        <v>151</v>
      </c>
      <c r="D19" s="15">
        <v>9</v>
      </c>
      <c r="E19" s="1">
        <f>D19*B10</f>
        <v>0.25448275862068964</v>
      </c>
      <c r="F19">
        <f>B4</f>
        <v>1.19</v>
      </c>
      <c r="G19" s="1">
        <f>$B6-E19</f>
        <v>3.3565172413793105</v>
      </c>
      <c r="H19" s="3">
        <f>$B5+E19</f>
        <v>0.6244827586206896</v>
      </c>
      <c r="I19" s="2">
        <f t="shared" si="0"/>
        <v>9.86485147521996</v>
      </c>
      <c r="J19" s="2">
        <f t="shared" si="1"/>
        <v>1.1122023391871265</v>
      </c>
      <c r="K19" s="2">
        <f t="shared" si="2"/>
        <v>0.3062885671648088</v>
      </c>
      <c r="L19" s="2">
        <f t="shared" si="3"/>
        <v>0.8059137720223177</v>
      </c>
      <c r="M19" s="2">
        <f t="shared" si="4"/>
        <v>6.585051979957002</v>
      </c>
      <c r="N19" s="2">
        <f t="shared" si="5"/>
        <v>18.061730999221595</v>
      </c>
      <c r="O19" s="2">
        <f>N19*B3</f>
        <v>18.061730999221595</v>
      </c>
      <c r="P19" s="18">
        <f t="shared" si="6"/>
        <v>0.2827586206896552</v>
      </c>
      <c r="Q19" s="2">
        <f>O19/B12</f>
        <v>248.8412196435453</v>
      </c>
    </row>
    <row r="20" spans="4:17" ht="12.75">
      <c r="D20" s="15">
        <v>10</v>
      </c>
      <c r="E20" s="1">
        <f>D20*B10</f>
        <v>0.2827586206896552</v>
      </c>
      <c r="F20">
        <f>B4</f>
        <v>1.19</v>
      </c>
      <c r="G20" s="1">
        <f>$B6-E20</f>
        <v>3.328241379310345</v>
      </c>
      <c r="H20" s="3">
        <f>$B5+E20</f>
        <v>0.6527586206896552</v>
      </c>
      <c r="I20" s="2">
        <f t="shared" si="0"/>
        <v>9.486096507539278</v>
      </c>
      <c r="J20" s="2">
        <f t="shared" si="1"/>
        <v>1.1122023391871265</v>
      </c>
      <c r="K20" s="2">
        <f t="shared" si="2"/>
        <v>0.3346533012162215</v>
      </c>
      <c r="L20" s="2">
        <f t="shared" si="3"/>
        <v>0.777549037970905</v>
      </c>
      <c r="M20" s="2">
        <f t="shared" si="4"/>
        <v>6.825230212380028</v>
      </c>
      <c r="N20" s="2">
        <f t="shared" si="5"/>
        <v>17.866424795861114</v>
      </c>
      <c r="O20" s="2">
        <f>N20*B3</f>
        <v>17.866424795861114</v>
      </c>
      <c r="P20" s="18">
        <f t="shared" si="6"/>
        <v>0.2686206896551724</v>
      </c>
      <c r="Q20" s="2">
        <f>O20/B12</f>
        <v>246.1504346988317</v>
      </c>
    </row>
    <row r="21" spans="4:17" ht="12.75">
      <c r="D21" s="15">
        <v>11</v>
      </c>
      <c r="E21" s="1">
        <f>D21*B10</f>
        <v>0.31103448275862067</v>
      </c>
      <c r="F21">
        <f>B4</f>
        <v>1.19</v>
      </c>
      <c r="G21" s="1">
        <f>$B6-E21</f>
        <v>3.2999655172413798</v>
      </c>
      <c r="H21" s="3">
        <f>$B5+E21</f>
        <v>0.6810344827586207</v>
      </c>
      <c r="I21" s="2">
        <f t="shared" si="0"/>
        <v>9.112365099668997</v>
      </c>
      <c r="J21" s="2">
        <f t="shared" si="1"/>
        <v>1.1122023391871265</v>
      </c>
      <c r="K21" s="2">
        <f t="shared" si="2"/>
        <v>0.3642739252202344</v>
      </c>
      <c r="L21" s="2">
        <f t="shared" si="3"/>
        <v>0.7479284139668921</v>
      </c>
      <c r="M21" s="2">
        <f t="shared" si="4"/>
        <v>7.0603848849926525</v>
      </c>
      <c r="N21" s="2">
        <f t="shared" si="5"/>
        <v>17.668606812595435</v>
      </c>
      <c r="O21" s="2">
        <f>N21*B3</f>
        <v>17.668606812595435</v>
      </c>
      <c r="P21" s="18">
        <f t="shared" si="6"/>
        <v>0.25448275862068964</v>
      </c>
      <c r="Q21" s="2">
        <f>O21/B12</f>
        <v>243.4250443015669</v>
      </c>
    </row>
    <row r="22" spans="4:17" ht="12.75">
      <c r="D22" s="15">
        <v>12</v>
      </c>
      <c r="E22" s="1">
        <f>D22*B10</f>
        <v>0.3393103448275862</v>
      </c>
      <c r="F22">
        <f>B4</f>
        <v>1.19</v>
      </c>
      <c r="G22" s="1">
        <f>$B6-E22</f>
        <v>3.271689655172414</v>
      </c>
      <c r="H22" s="3">
        <f>$B5+E22</f>
        <v>0.7093103448275861</v>
      </c>
      <c r="I22" s="2">
        <f t="shared" si="0"/>
        <v>8.743657251609116</v>
      </c>
      <c r="J22" s="2">
        <f t="shared" si="1"/>
        <v>1.1122023391871265</v>
      </c>
      <c r="K22" s="2">
        <f t="shared" si="2"/>
        <v>0.3951504391768477</v>
      </c>
      <c r="L22" s="2">
        <f t="shared" si="3"/>
        <v>0.7170519000102789</v>
      </c>
      <c r="M22" s="2">
        <f t="shared" si="4"/>
        <v>7.290515997794874</v>
      </c>
      <c r="N22" s="2">
        <f t="shared" si="5"/>
        <v>17.468277049424547</v>
      </c>
      <c r="O22" s="2">
        <f>N22*B3</f>
        <v>17.468277049424547</v>
      </c>
      <c r="P22" s="18">
        <f t="shared" si="6"/>
        <v>0.2403448275862069</v>
      </c>
      <c r="Q22" s="2">
        <f>O22/B12</f>
        <v>240.6650484517508</v>
      </c>
    </row>
    <row r="23" spans="4:17" ht="12.75">
      <c r="D23" s="15">
        <v>13</v>
      </c>
      <c r="E23" s="1">
        <f>D23*B10</f>
        <v>0.3675862068965517</v>
      </c>
      <c r="F23">
        <f>B4</f>
        <v>1.19</v>
      </c>
      <c r="G23" s="1">
        <f>$B6-E23</f>
        <v>3.2434137931034486</v>
      </c>
      <c r="H23" s="3">
        <f>$B5+E23</f>
        <v>0.7375862068965517</v>
      </c>
      <c r="I23" s="2">
        <f t="shared" si="0"/>
        <v>8.37997296335964</v>
      </c>
      <c r="J23" s="2">
        <f t="shared" si="1"/>
        <v>1.1122023391871265</v>
      </c>
      <c r="K23" s="2">
        <f t="shared" si="2"/>
        <v>0.4272828430860614</v>
      </c>
      <c r="L23" s="2">
        <f t="shared" si="3"/>
        <v>0.6849194961010652</v>
      </c>
      <c r="M23" s="2">
        <f t="shared" si="4"/>
        <v>7.515623550786696</v>
      </c>
      <c r="N23" s="2">
        <f t="shared" si="5"/>
        <v>17.265435506348467</v>
      </c>
      <c r="O23" s="2">
        <f>N23*B3</f>
        <v>17.265435506348467</v>
      </c>
      <c r="P23" s="18">
        <f t="shared" si="6"/>
        <v>0.2262068965517241</v>
      </c>
      <c r="Q23" s="2">
        <f>O23/B12</f>
        <v>237.87044714938364</v>
      </c>
    </row>
    <row r="24" spans="4:17" ht="12.75">
      <c r="D24" s="15">
        <v>14</v>
      </c>
      <c r="E24" s="1">
        <f>D24*B10</f>
        <v>0.39586206896551723</v>
      </c>
      <c r="F24">
        <f>B4</f>
        <v>1.19</v>
      </c>
      <c r="G24" s="1">
        <f>$B6-E24</f>
        <v>3.2151379310344828</v>
      </c>
      <c r="H24" s="3">
        <f>$B5+E24</f>
        <v>0.7658620689655172</v>
      </c>
      <c r="I24" s="2">
        <f t="shared" si="0"/>
        <v>8.021312234920561</v>
      </c>
      <c r="J24" s="2">
        <f t="shared" si="1"/>
        <v>1.1122023391871265</v>
      </c>
      <c r="K24" s="2">
        <f t="shared" si="2"/>
        <v>0.46067113694787537</v>
      </c>
      <c r="L24" s="2">
        <f t="shared" si="3"/>
        <v>0.6515312022392512</v>
      </c>
      <c r="M24" s="2">
        <f t="shared" si="4"/>
        <v>7.735707543968115</v>
      </c>
      <c r="N24" s="2">
        <f t="shared" si="5"/>
        <v>17.06008218336718</v>
      </c>
      <c r="O24" s="2">
        <f>N24*B3</f>
        <v>17.06008218336718</v>
      </c>
      <c r="P24" s="18">
        <f t="shared" si="6"/>
        <v>0.21206896551724136</v>
      </c>
      <c r="Q24" s="2">
        <f>O24/B12</f>
        <v>235.04124039446512</v>
      </c>
    </row>
    <row r="25" spans="4:17" ht="12.75">
      <c r="D25" s="15">
        <v>15</v>
      </c>
      <c r="E25" s="1">
        <f>D25*B10</f>
        <v>0.4241379310344827</v>
      </c>
      <c r="F25">
        <f>B4</f>
        <v>1.19</v>
      </c>
      <c r="G25" s="1">
        <f>$B6-E25</f>
        <v>3.1868620689655174</v>
      </c>
      <c r="H25" s="3">
        <f>$B5+E25</f>
        <v>0.7941379310344827</v>
      </c>
      <c r="I25" s="2">
        <f t="shared" si="0"/>
        <v>7.667675066291887</v>
      </c>
      <c r="J25" s="2">
        <f t="shared" si="1"/>
        <v>1.1122023391871265</v>
      </c>
      <c r="K25" s="2">
        <f t="shared" si="2"/>
        <v>0.4953153207622896</v>
      </c>
      <c r="L25" s="2">
        <f t="shared" si="3"/>
        <v>0.616887018424837</v>
      </c>
      <c r="M25" s="2">
        <f t="shared" si="4"/>
        <v>7.950767977339132</v>
      </c>
      <c r="N25" s="2">
        <f t="shared" si="5"/>
        <v>16.852217080480692</v>
      </c>
      <c r="O25" s="2">
        <f>N25*B3</f>
        <v>16.852217080480692</v>
      </c>
      <c r="P25" s="18">
        <f t="shared" si="6"/>
        <v>0.19793103448275862</v>
      </c>
      <c r="Q25" s="2">
        <f>O25/B12</f>
        <v>232.17742818699546</v>
      </c>
    </row>
    <row r="26" spans="4:17" ht="12.75">
      <c r="D26" s="15">
        <v>16</v>
      </c>
      <c r="E26" s="1">
        <f>D26*B10</f>
        <v>0.45241379310344826</v>
      </c>
      <c r="F26">
        <f>B4</f>
        <v>1.19</v>
      </c>
      <c r="G26" s="1">
        <f>$B6-E26</f>
        <v>3.158586206896552</v>
      </c>
      <c r="H26" s="3">
        <f>$B5+E26</f>
        <v>0.8224137931034483</v>
      </c>
      <c r="I26" s="2">
        <f t="shared" si="0"/>
        <v>7.319061457473612</v>
      </c>
      <c r="J26" s="2">
        <f t="shared" si="1"/>
        <v>1.1122023391871265</v>
      </c>
      <c r="K26" s="2">
        <f t="shared" si="2"/>
        <v>0.5312153945293044</v>
      </c>
      <c r="L26" s="2">
        <f t="shared" si="3"/>
        <v>0.5809869446578221</v>
      </c>
      <c r="M26" s="2">
        <f t="shared" si="4"/>
        <v>8.160804850899751</v>
      </c>
      <c r="N26" s="2">
        <f t="shared" si="5"/>
        <v>16.641840197689007</v>
      </c>
      <c r="O26" s="2">
        <f>N26*B3</f>
        <v>16.641840197689007</v>
      </c>
      <c r="P26" s="18">
        <f t="shared" si="6"/>
        <v>0.18379310344827582</v>
      </c>
      <c r="Q26" s="2">
        <f>O26/B12</f>
        <v>229.2790105269746</v>
      </c>
    </row>
    <row r="27" spans="4:17" ht="12.75">
      <c r="D27" s="15">
        <v>17</v>
      </c>
      <c r="E27" s="1">
        <f>D27*B10</f>
        <v>0.4806896551724138</v>
      </c>
      <c r="F27">
        <f>B4</f>
        <v>1.19</v>
      </c>
      <c r="G27" s="1">
        <f>$B6-E27</f>
        <v>3.1303103448275866</v>
      </c>
      <c r="H27" s="3">
        <f>$B5+E27</f>
        <v>0.8506896551724138</v>
      </c>
      <c r="I27" s="2">
        <f t="shared" si="0"/>
        <v>6.97547140846574</v>
      </c>
      <c r="J27" s="2">
        <f t="shared" si="1"/>
        <v>1.1122023391871265</v>
      </c>
      <c r="K27" s="2">
        <f t="shared" si="2"/>
        <v>0.5683713582489195</v>
      </c>
      <c r="L27" s="2">
        <f t="shared" si="3"/>
        <v>0.543830980938207</v>
      </c>
      <c r="M27" s="2">
        <f t="shared" si="4"/>
        <v>8.365818164649966</v>
      </c>
      <c r="N27" s="2">
        <f t="shared" si="5"/>
        <v>16.42895153499212</v>
      </c>
      <c r="O27" s="2">
        <f>N27*B3</f>
        <v>16.42895153499212</v>
      </c>
      <c r="P27" s="18">
        <f t="shared" si="6"/>
        <v>0.16965517241379308</v>
      </c>
      <c r="Q27" s="2">
        <f>O27/B12</f>
        <v>226.3459874144025</v>
      </c>
    </row>
    <row r="28" spans="4:17" ht="12.75">
      <c r="D28" s="15">
        <v>18</v>
      </c>
      <c r="E28" s="1">
        <f>D28*B10</f>
        <v>0.5089655172413793</v>
      </c>
      <c r="F28">
        <f>B4</f>
        <v>1.19</v>
      </c>
      <c r="G28" s="1">
        <f>$B6-E28</f>
        <v>3.102034482758621</v>
      </c>
      <c r="H28" s="3">
        <f>$B5+E28</f>
        <v>0.8789655172413793</v>
      </c>
      <c r="I28" s="2">
        <f t="shared" si="0"/>
        <v>6.636904919268267</v>
      </c>
      <c r="J28" s="2">
        <f t="shared" si="1"/>
        <v>1.1122023391871265</v>
      </c>
      <c r="K28" s="2">
        <f t="shared" si="2"/>
        <v>0.6067832119211347</v>
      </c>
      <c r="L28" s="2">
        <f t="shared" si="3"/>
        <v>0.5054191272659918</v>
      </c>
      <c r="M28" s="2">
        <f t="shared" si="4"/>
        <v>8.56580791858978</v>
      </c>
      <c r="N28" s="2">
        <f t="shared" si="5"/>
        <v>16.21355109239003</v>
      </c>
      <c r="O28" s="2">
        <f>N28*B3</f>
        <v>16.21355109239003</v>
      </c>
      <c r="P28" s="18">
        <f t="shared" si="6"/>
        <v>0.15551724137931033</v>
      </c>
      <c r="Q28" s="2">
        <f>O28/B12</f>
        <v>223.37835884927918</v>
      </c>
    </row>
    <row r="29" spans="4:17" ht="12.75">
      <c r="D29" s="15">
        <v>19</v>
      </c>
      <c r="E29" s="1">
        <f>D29*B10</f>
        <v>0.5372413793103448</v>
      </c>
      <c r="F29">
        <f>B4</f>
        <v>1.19</v>
      </c>
      <c r="G29" s="1">
        <f>$B6-E29</f>
        <v>3.0737586206896554</v>
      </c>
      <c r="H29" s="3">
        <f>$B5+E29</f>
        <v>0.9072413793103448</v>
      </c>
      <c r="I29" s="2">
        <f t="shared" si="0"/>
        <v>6.303361989881197</v>
      </c>
      <c r="J29" s="2">
        <f t="shared" si="1"/>
        <v>1.1122023391871265</v>
      </c>
      <c r="K29" s="2">
        <f t="shared" si="2"/>
        <v>0.6464509555459504</v>
      </c>
      <c r="L29" s="2">
        <f t="shared" si="3"/>
        <v>0.4657513836411761</v>
      </c>
      <c r="M29" s="2">
        <f t="shared" si="4"/>
        <v>8.760774112719192</v>
      </c>
      <c r="N29" s="2">
        <f t="shared" si="5"/>
        <v>15.995638869882741</v>
      </c>
      <c r="O29" s="2">
        <f>N29*B3</f>
        <v>15.995638869882741</v>
      </c>
      <c r="P29" s="18">
        <f t="shared" si="6"/>
        <v>0.1413793103448276</v>
      </c>
      <c r="Q29" s="2">
        <f>O29/B12</f>
        <v>220.37612483160467</v>
      </c>
    </row>
    <row r="30" spans="4:17" ht="12.75">
      <c r="D30" s="15">
        <v>20</v>
      </c>
      <c r="E30" s="1">
        <f>D30*B10</f>
        <v>0.5655172413793104</v>
      </c>
      <c r="F30">
        <f>B4</f>
        <v>1.19</v>
      </c>
      <c r="G30" s="1">
        <f>$B6-E30</f>
        <v>3.0454827586206896</v>
      </c>
      <c r="H30" s="3">
        <f>$B5+E30</f>
        <v>0.9355172413793104</v>
      </c>
      <c r="I30" s="2">
        <f t="shared" si="0"/>
        <v>5.9748426203045275</v>
      </c>
      <c r="J30" s="2">
        <f t="shared" si="1"/>
        <v>1.1122023391871265</v>
      </c>
      <c r="K30" s="2">
        <f t="shared" si="2"/>
        <v>0.6873745891233666</v>
      </c>
      <c r="L30" s="2">
        <f t="shared" si="3"/>
        <v>0.42482775006375995</v>
      </c>
      <c r="M30" s="2">
        <f t="shared" si="4"/>
        <v>8.950716747038204</v>
      </c>
      <c r="N30" s="2">
        <f t="shared" si="5"/>
        <v>15.77521486747025</v>
      </c>
      <c r="O30" s="2">
        <f>N30*B3</f>
        <v>15.77521486747025</v>
      </c>
      <c r="P30" s="18">
        <f t="shared" si="6"/>
        <v>0.1272413793103448</v>
      </c>
      <c r="Q30" s="2">
        <f>O30/B12</f>
        <v>217.33928536137893</v>
      </c>
    </row>
    <row r="31" spans="4:17" ht="12.75">
      <c r="D31" s="15">
        <v>21</v>
      </c>
      <c r="E31" s="1">
        <f>D31*B10</f>
        <v>0.5937931034482758</v>
      </c>
      <c r="F31">
        <f>B4</f>
        <v>1.19</v>
      </c>
      <c r="G31" s="1">
        <f>$B6-E31</f>
        <v>3.0172068965517242</v>
      </c>
      <c r="H31" s="3">
        <f>$B5+E31</f>
        <v>0.9637931034482758</v>
      </c>
      <c r="I31" s="2">
        <f t="shared" si="0"/>
        <v>5.651346810538262</v>
      </c>
      <c r="J31" s="2">
        <f t="shared" si="1"/>
        <v>1.1122023391871265</v>
      </c>
      <c r="K31" s="2">
        <f t="shared" si="2"/>
        <v>0.729554112653383</v>
      </c>
      <c r="L31" s="2">
        <f t="shared" si="3"/>
        <v>0.38264822653374353</v>
      </c>
      <c r="M31" s="2">
        <f t="shared" si="4"/>
        <v>9.135635821546813</v>
      </c>
      <c r="N31" s="2">
        <f t="shared" si="5"/>
        <v>15.552279085152563</v>
      </c>
      <c r="O31" s="2">
        <f>N31*B3</f>
        <v>15.552279085152563</v>
      </c>
      <c r="P31" s="18">
        <f t="shared" si="6"/>
        <v>0.11310344827586205</v>
      </c>
      <c r="Q31" s="2">
        <f>O31/B12</f>
        <v>214.267840438602</v>
      </c>
    </row>
    <row r="32" spans="4:17" ht="12.75">
      <c r="D32" s="15">
        <v>22</v>
      </c>
      <c r="E32" s="1">
        <f>D32*B10</f>
        <v>0.6220689655172413</v>
      </c>
      <c r="F32">
        <f>B4</f>
        <v>1.19</v>
      </c>
      <c r="G32" s="1">
        <f>$B6-E32</f>
        <v>2.988931034482759</v>
      </c>
      <c r="H32" s="3">
        <f>$B5+E32</f>
        <v>0.9920689655172413</v>
      </c>
      <c r="I32" s="2">
        <f t="shared" si="0"/>
        <v>5.332874560582395</v>
      </c>
      <c r="J32" s="2">
        <f t="shared" si="1"/>
        <v>1.1122023391871265</v>
      </c>
      <c r="K32" s="2">
        <f t="shared" si="2"/>
        <v>0.7729895261359997</v>
      </c>
      <c r="L32" s="2">
        <f t="shared" si="3"/>
        <v>0.3392128130511268</v>
      </c>
      <c r="M32" s="2">
        <f t="shared" si="4"/>
        <v>9.315531336245021</v>
      </c>
      <c r="N32" s="2">
        <f t="shared" si="5"/>
        <v>15.32683152292967</v>
      </c>
      <c r="O32" s="2">
        <f>N32*B3</f>
        <v>15.32683152292967</v>
      </c>
      <c r="P32" s="18">
        <f t="shared" si="6"/>
        <v>0.09896551724137931</v>
      </c>
      <c r="Q32" s="2">
        <f>O32/B12</f>
        <v>211.16179006327386</v>
      </c>
    </row>
    <row r="33" spans="4:17" ht="12.75">
      <c r="D33" s="15">
        <v>23</v>
      </c>
      <c r="E33" s="1">
        <f>D33*B10</f>
        <v>0.6503448275862068</v>
      </c>
      <c r="F33">
        <f>B4</f>
        <v>1.19</v>
      </c>
      <c r="G33" s="1">
        <f>$B6-E33</f>
        <v>2.9606551724137935</v>
      </c>
      <c r="H33" s="3">
        <f>$B5+E33</f>
        <v>1.0203448275862068</v>
      </c>
      <c r="I33" s="2">
        <f t="shared" si="0"/>
        <v>5.0194258704369314</v>
      </c>
      <c r="J33" s="2">
        <f t="shared" si="1"/>
        <v>1.1122023391871265</v>
      </c>
      <c r="K33" s="2">
        <f t="shared" si="2"/>
        <v>0.8176808295712168</v>
      </c>
      <c r="L33" s="2">
        <f t="shared" si="3"/>
        <v>0.2945215096159097</v>
      </c>
      <c r="M33" s="2">
        <f t="shared" si="4"/>
        <v>9.49040329113283</v>
      </c>
      <c r="N33" s="2">
        <f t="shared" si="5"/>
        <v>15.098872180801582</v>
      </c>
      <c r="O33" s="2">
        <f>N33*B3</f>
        <v>15.098872180801582</v>
      </c>
      <c r="P33" s="18">
        <f t="shared" si="6"/>
        <v>0.08482758620689657</v>
      </c>
      <c r="Q33" s="2">
        <f>O33/B12</f>
        <v>208.02113423539453</v>
      </c>
    </row>
    <row r="34" spans="4:17" ht="12.75">
      <c r="D34" s="15">
        <v>24</v>
      </c>
      <c r="E34" s="1">
        <f>D34*B10</f>
        <v>0.6786206896551724</v>
      </c>
      <c r="F34">
        <f>B4</f>
        <v>1.19</v>
      </c>
      <c r="G34" s="1">
        <f>$B6-E34</f>
        <v>2.9323793103448277</v>
      </c>
      <c r="H34" s="3">
        <f>$B5+E34</f>
        <v>1.0486206896551724</v>
      </c>
      <c r="I34" s="2">
        <f t="shared" si="0"/>
        <v>4.711000740101866</v>
      </c>
      <c r="J34" s="2">
        <f t="shared" si="1"/>
        <v>1.1122023391871265</v>
      </c>
      <c r="K34" s="2">
        <f t="shared" si="2"/>
        <v>0.8636280229590342</v>
      </c>
      <c r="L34" s="2">
        <f t="shared" si="3"/>
        <v>0.24857431622809234</v>
      </c>
      <c r="M34" s="2">
        <f t="shared" si="4"/>
        <v>9.660251686210234</v>
      </c>
      <c r="N34" s="2">
        <f t="shared" si="5"/>
        <v>14.868401058768285</v>
      </c>
      <c r="O34" s="2">
        <f>N34*B3</f>
        <v>14.868401058768285</v>
      </c>
      <c r="P34" s="18">
        <f t="shared" si="6"/>
        <v>0.07068965517241377</v>
      </c>
      <c r="Q34" s="2">
        <f>O34/B12</f>
        <v>204.8458729549639</v>
      </c>
    </row>
    <row r="35" spans="4:17" ht="12.75">
      <c r="D35" s="15">
        <v>25</v>
      </c>
      <c r="E35" s="1">
        <f>D35*B10</f>
        <v>0.7068965517241379</v>
      </c>
      <c r="F35">
        <f>B4</f>
        <v>1.19</v>
      </c>
      <c r="G35" s="1">
        <f>$B6-E35</f>
        <v>2.9041034482758623</v>
      </c>
      <c r="H35" s="3">
        <f>$B5+E35</f>
        <v>1.076896551724138</v>
      </c>
      <c r="I35" s="2">
        <f t="shared" si="0"/>
        <v>4.407599169577206</v>
      </c>
      <c r="J35" s="2">
        <f t="shared" si="1"/>
        <v>1.1122023391871265</v>
      </c>
      <c r="K35" s="2">
        <f t="shared" si="2"/>
        <v>0.9108311062994521</v>
      </c>
      <c r="L35" s="2">
        <f t="shared" si="3"/>
        <v>0.20137123288767445</v>
      </c>
      <c r="M35" s="2">
        <f t="shared" si="4"/>
        <v>9.825076521477241</v>
      </c>
      <c r="N35" s="2">
        <f t="shared" si="5"/>
        <v>14.635418156829797</v>
      </c>
      <c r="O35" s="2">
        <f>N35*B3</f>
        <v>14.635418156829797</v>
      </c>
      <c r="P35" s="18">
        <f t="shared" si="6"/>
        <v>0.05655172413793097</v>
      </c>
      <c r="Q35" s="2">
        <f>O35/B12</f>
        <v>201.6360062219822</v>
      </c>
    </row>
    <row r="36" spans="4:17" ht="12.75">
      <c r="D36" s="15">
        <v>26</v>
      </c>
      <c r="E36" s="1">
        <f>D36*B10</f>
        <v>0.7351724137931034</v>
      </c>
      <c r="F36">
        <f>B4</f>
        <v>1.19</v>
      </c>
      <c r="G36" s="1">
        <f>$B6-E36</f>
        <v>2.875827586206897</v>
      </c>
      <c r="H36" s="3">
        <f>$B5+E36</f>
        <v>1.1051724137931034</v>
      </c>
      <c r="I36" s="2">
        <f t="shared" si="0"/>
        <v>4.109221158862946</v>
      </c>
      <c r="J36" s="2">
        <f t="shared" si="1"/>
        <v>1.1122023391871265</v>
      </c>
      <c r="K36" s="2">
        <f t="shared" si="2"/>
        <v>0.95929007959247</v>
      </c>
      <c r="L36" s="2">
        <f t="shared" si="3"/>
        <v>0.15291225959465649</v>
      </c>
      <c r="M36" s="2">
        <f t="shared" si="4"/>
        <v>9.984877796933844</v>
      </c>
      <c r="N36" s="2">
        <f t="shared" si="5"/>
        <v>14.399923474986103</v>
      </c>
      <c r="O36" s="2">
        <f>N36*B3</f>
        <v>14.399923474986103</v>
      </c>
      <c r="P36" s="18">
        <f t="shared" si="6"/>
        <v>0.04241379310344828</v>
      </c>
      <c r="Q36" s="2">
        <f>O36/B12</f>
        <v>198.3915340364492</v>
      </c>
    </row>
    <row r="37" spans="4:17" ht="12.75">
      <c r="D37" s="15">
        <v>27</v>
      </c>
      <c r="E37" s="1">
        <f>D37*B10</f>
        <v>0.763448275862069</v>
      </c>
      <c r="F37">
        <f>B4</f>
        <v>1.19</v>
      </c>
      <c r="G37" s="1">
        <f>$B6-E37</f>
        <v>2.847551724137931</v>
      </c>
      <c r="H37" s="3">
        <f>$B5+E37</f>
        <v>1.133448275862069</v>
      </c>
      <c r="I37" s="2">
        <f t="shared" si="0"/>
        <v>3.8158667079590853</v>
      </c>
      <c r="J37" s="2">
        <f t="shared" si="1"/>
        <v>1.1122023391871265</v>
      </c>
      <c r="K37" s="2">
        <f t="shared" si="2"/>
        <v>1.0090049428380885</v>
      </c>
      <c r="L37" s="2">
        <f t="shared" si="3"/>
        <v>0.10319739634903802</v>
      </c>
      <c r="M37" s="2">
        <f t="shared" si="4"/>
        <v>10.139655512580045</v>
      </c>
      <c r="N37" s="2">
        <f t="shared" si="5"/>
        <v>14.161917013237208</v>
      </c>
      <c r="O37" s="2">
        <f>N37*B3</f>
        <v>14.161917013237208</v>
      </c>
      <c r="P37" s="18">
        <f t="shared" si="6"/>
        <v>0.028275862068965485</v>
      </c>
      <c r="Q37" s="2">
        <f>O37/B12</f>
        <v>195.112456398365</v>
      </c>
    </row>
    <row r="38" spans="4:17" ht="12.75">
      <c r="D38" s="15">
        <v>28</v>
      </c>
      <c r="E38" s="1">
        <f>D38*$B$10</f>
        <v>0.7917241379310345</v>
      </c>
      <c r="F38">
        <f>$B$4</f>
        <v>1.19</v>
      </c>
      <c r="G38" s="1">
        <f>$B$6-E38</f>
        <v>2.8192758620689657</v>
      </c>
      <c r="H38" s="3">
        <f>$B$5+E38</f>
        <v>1.1617241379310346</v>
      </c>
      <c r="I38" s="2">
        <f t="shared" si="0"/>
        <v>3.5275358168656283</v>
      </c>
      <c r="J38" s="2">
        <f t="shared" si="1"/>
        <v>1.1122023391871265</v>
      </c>
      <c r="K38" s="2">
        <f t="shared" si="2"/>
        <v>1.0599756960363076</v>
      </c>
      <c r="L38" s="2">
        <f t="shared" si="3"/>
        <v>0.05222664315081893</v>
      </c>
      <c r="M38" s="2">
        <f t="shared" si="4"/>
        <v>10.289409668415846</v>
      </c>
      <c r="N38" s="2">
        <f t="shared" si="5"/>
        <v>13.921398771583112</v>
      </c>
      <c r="O38" s="2">
        <f>N38*$B$3</f>
        <v>13.921398771583112</v>
      </c>
      <c r="P38" s="18">
        <f t="shared" si="6"/>
        <v>0.014137931034482687</v>
      </c>
      <c r="Q38" s="2">
        <f>O38/$B$12</f>
        <v>191.7987733077296</v>
      </c>
    </row>
    <row r="39" spans="1:17" ht="12.75">
      <c r="A39" t="s">
        <v>122</v>
      </c>
      <c r="D39" s="15">
        <v>29</v>
      </c>
      <c r="E39" s="1">
        <f>D39*$B$10</f>
        <v>0.82</v>
      </c>
      <c r="F39">
        <f>$B$4</f>
        <v>1.19</v>
      </c>
      <c r="G39" s="1">
        <f>$B$6-E39</f>
        <v>2.7910000000000004</v>
      </c>
      <c r="H39" s="3">
        <f>$B$5+E39</f>
        <v>1.19</v>
      </c>
      <c r="I39" s="2">
        <f t="shared" si="0"/>
        <v>3.2442284855825725</v>
      </c>
      <c r="J39" s="2">
        <f>((F39/2)^2)*PI()</f>
        <v>1.1122023391871265</v>
      </c>
      <c r="K39" s="2">
        <f>((H39/2)^2)*PI()</f>
        <v>1.1122023391871265</v>
      </c>
      <c r="L39" s="2">
        <f>J39-K39</f>
        <v>0</v>
      </c>
      <c r="M39" s="2">
        <f>(H39*PI())*G39</f>
        <v>10.434140264441245</v>
      </c>
      <c r="N39" s="2">
        <f t="shared" si="5"/>
        <v>13.678368750023818</v>
      </c>
      <c r="O39" s="2">
        <f>N39*$B$3</f>
        <v>13.678368750023818</v>
      </c>
      <c r="P39" s="18">
        <f t="shared" si="6"/>
        <v>0</v>
      </c>
      <c r="Q39" s="2">
        <f>O39/$B$12</f>
        <v>188.45048476454298</v>
      </c>
    </row>
    <row r="40" ht="12.75">
      <c r="A40" s="9" t="s">
        <v>74</v>
      </c>
    </row>
    <row r="41" ht="12.75">
      <c r="A41" s="9" t="s">
        <v>149</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6.xml><?xml version="1.0" encoding="utf-8"?>
<worksheet xmlns="http://schemas.openxmlformats.org/spreadsheetml/2006/main" xmlns:r="http://schemas.openxmlformats.org/officeDocument/2006/relationships">
  <dimension ref="A1:J57"/>
  <sheetViews>
    <sheetView workbookViewId="0" topLeftCell="B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81</v>
      </c>
    </row>
    <row r="11" spans="1:5" ht="12.75">
      <c r="A11" t="s">
        <v>66</v>
      </c>
      <c r="D11">
        <v>1.24</v>
      </c>
      <c r="E11" t="s">
        <v>43</v>
      </c>
    </row>
    <row r="12" ht="12.75">
      <c r="A12" t="s">
        <v>65</v>
      </c>
    </row>
    <row r="13" ht="12.75">
      <c r="A13" t="s">
        <v>68</v>
      </c>
    </row>
    <row r="17" ht="12.75">
      <c r="A17" t="s">
        <v>82</v>
      </c>
    </row>
    <row r="18" spans="1:5" ht="12.75">
      <c r="A18" t="s">
        <v>83</v>
      </c>
      <c r="B18" t="s">
        <v>84</v>
      </c>
      <c r="C18" t="s">
        <v>85</v>
      </c>
      <c r="D18" t="s">
        <v>86</v>
      </c>
      <c r="E18" t="s">
        <v>87</v>
      </c>
    </row>
    <row r="19" spans="1:5" ht="12.75">
      <c r="A19" t="s">
        <v>88</v>
      </c>
      <c r="B19">
        <v>5</v>
      </c>
      <c r="C19">
        <v>6.875</v>
      </c>
      <c r="D19">
        <v>8.75</v>
      </c>
      <c r="E19">
        <v>12.5</v>
      </c>
    </row>
    <row r="20" spans="1:5" ht="12.75">
      <c r="A20" t="s">
        <v>89</v>
      </c>
      <c r="B20">
        <f>B19-1.25</f>
        <v>3.75</v>
      </c>
      <c r="C20">
        <f>C19-1.25</f>
        <v>5.625</v>
      </c>
      <c r="D20">
        <f>D19-1.25</f>
        <v>7.5</v>
      </c>
      <c r="E20">
        <f>E19-1.25</f>
        <v>11.25</v>
      </c>
    </row>
    <row r="21" spans="1:5" ht="12.75">
      <c r="A21" t="s">
        <v>90</v>
      </c>
      <c r="B21">
        <f>B19-1.375</f>
        <v>3.625</v>
      </c>
      <c r="C21">
        <f>C19-1.375</f>
        <v>5.5</v>
      </c>
      <c r="D21">
        <f>D19-1.375</f>
        <v>7.375</v>
      </c>
      <c r="E21">
        <f>E19-1.375</f>
        <v>11.125</v>
      </c>
    </row>
    <row r="22" spans="1:10" ht="12.75">
      <c r="A22" t="s">
        <v>91</v>
      </c>
      <c r="B22">
        <f>B19+1.0625</f>
        <v>6.0625</v>
      </c>
      <c r="C22">
        <f>C19+1.0625</f>
        <v>7.9375</v>
      </c>
      <c r="D22">
        <f>D19+1.0625</f>
        <v>9.8125</v>
      </c>
      <c r="E22">
        <f>E19+1.0625</f>
        <v>13.5625</v>
      </c>
      <c r="J22" t="s">
        <v>63</v>
      </c>
    </row>
    <row r="23" spans="1:5" ht="12.75">
      <c r="A23" t="s">
        <v>92</v>
      </c>
      <c r="B23">
        <f>B19+0.6875</f>
        <v>5.6875</v>
      </c>
      <c r="C23">
        <f>C19+0.6875</f>
        <v>7.5625</v>
      </c>
      <c r="D23">
        <f>D19+0.6875</f>
        <v>9.4375</v>
      </c>
      <c r="E23">
        <f>E19+0.6875</f>
        <v>13.1875</v>
      </c>
    </row>
    <row r="28" ht="12.75">
      <c r="A28" t="s">
        <v>93</v>
      </c>
    </row>
    <row r="29" spans="1:2" ht="12.75">
      <c r="A29" t="s">
        <v>94</v>
      </c>
      <c r="B29" t="s">
        <v>95</v>
      </c>
    </row>
    <row r="30" spans="1:2" ht="12.75">
      <c r="A30" t="s">
        <v>96</v>
      </c>
      <c r="B30" t="s">
        <v>97</v>
      </c>
    </row>
    <row r="31" spans="1:2" ht="12.75">
      <c r="A31" t="s">
        <v>98</v>
      </c>
      <c r="B31" t="s">
        <v>99</v>
      </c>
    </row>
    <row r="32" spans="1:2" ht="12.75">
      <c r="A32" t="s">
        <v>100</v>
      </c>
      <c r="B32" t="s">
        <v>101</v>
      </c>
    </row>
    <row r="35" spans="1:3" ht="12.75">
      <c r="A35" t="s">
        <v>155</v>
      </c>
      <c r="B35">
        <f>0.178*3.1416</f>
        <v>0.5592048</v>
      </c>
      <c r="C35" t="s">
        <v>156</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2006-12-04T04:27:47Z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